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workbookProtection workbookPassword="D401" lockStructure="1"/>
  <bookViews>
    <workbookView showSheetTabs="0" xWindow="7668" yWindow="168" windowWidth="4620" windowHeight="5772" tabRatio="889"/>
  </bookViews>
  <sheets>
    <sheet name="HOME" sheetId="1" r:id="rId1"/>
    <sheet name="QUICK TORQUE" sheetId="8" r:id="rId2"/>
    <sheet name="G.S.T." sheetId="13" r:id="rId3"/>
    <sheet name="Ring Gaskets" sheetId="2" r:id="rId4"/>
    <sheet name="Full Face Gaskets" sheetId="3" r:id="rId5"/>
    <sheet name="Rectangular &amp; Square Gaskets" sheetId="5" r:id="rId6"/>
    <sheet name="Elliptical Gaskets" sheetId="19" r:id="rId7"/>
    <sheet name="Obround Gasket" sheetId="18" r:id="rId8"/>
    <sheet name="BOLT TABLE" sheetId="7" r:id="rId9"/>
    <sheet name="BOLT" sheetId="9" state="hidden" r:id="rId10"/>
  </sheets>
  <definedNames>
    <definedName name="_xlnm.Print_Area" localSheetId="8">'BOLT TABLE'!$A$1:$K$31</definedName>
    <definedName name="_xlnm.Print_Area" localSheetId="6">'Elliptical Gaskets'!$A:$N</definedName>
    <definedName name="_xlnm.Print_Area" localSheetId="4">'Full Face Gaskets'!$A$1:$M$184</definedName>
    <definedName name="_xlnm.Print_Area" localSheetId="2">G.S.T.!$A$1:$M$45</definedName>
    <definedName name="_xlnm.Print_Area" localSheetId="0">HOME!$A$1:$O$50</definedName>
    <definedName name="_xlnm.Print_Area" localSheetId="7">'Obround Gasket'!$A$1:$N$191</definedName>
    <definedName name="_xlnm.Print_Area" localSheetId="1">'QUICK TORQUE'!$A$1:$P$58</definedName>
    <definedName name="_xlnm.Print_Area" localSheetId="5">'Rectangular &amp; Square Gaskets'!$A$1:$N$191</definedName>
    <definedName name="_xlnm.Print_Area" localSheetId="3">'Ring Gaskets'!$A$1:$M$189</definedName>
    <definedName name="_xlnm.Print_Titles" localSheetId="6">'Elliptical Gaskets'!$1:$4</definedName>
    <definedName name="_xlnm.Print_Titles" localSheetId="4">'Full Face Gaskets'!$1:$4</definedName>
    <definedName name="_xlnm.Print_Titles" localSheetId="7">'Obround Gasket'!$1:$4</definedName>
    <definedName name="_xlnm.Print_Titles" localSheetId="1">'QUICK TORQUE'!$1:$2</definedName>
    <definedName name="_xlnm.Print_Titles" localSheetId="5">'Rectangular &amp; Square Gaskets'!$1:$4</definedName>
    <definedName name="_xlnm.Print_Titles" localSheetId="3">'Ring Gaskets'!$1:$4</definedName>
  </definedNames>
  <calcPr calcId="145621"/>
</workbook>
</file>

<file path=xl/calcChain.xml><?xml version="1.0" encoding="utf-8"?>
<calcChain xmlns="http://schemas.openxmlformats.org/spreadsheetml/2006/main">
  <c r="T131" i="18" l="1"/>
  <c r="T114" i="18"/>
  <c r="T100" i="18"/>
  <c r="T99" i="18"/>
  <c r="T98" i="18"/>
  <c r="T97" i="18"/>
  <c r="T83" i="18"/>
  <c r="T82" i="18"/>
  <c r="T81" i="18"/>
  <c r="T80" i="18"/>
  <c r="T67" i="18"/>
  <c r="T66" i="18"/>
  <c r="T65" i="18"/>
  <c r="T64" i="18"/>
  <c r="T63" i="18"/>
  <c r="T135" i="19"/>
  <c r="T118" i="19"/>
  <c r="T104" i="19"/>
  <c r="T103" i="19"/>
  <c r="T102" i="19"/>
  <c r="T101" i="19"/>
  <c r="T87" i="19"/>
  <c r="T86" i="19"/>
  <c r="T85" i="19"/>
  <c r="T84" i="19"/>
  <c r="T71" i="19"/>
  <c r="T70" i="19"/>
  <c r="T69" i="19"/>
  <c r="T68" i="19"/>
  <c r="T67" i="19"/>
  <c r="T80" i="5" l="1"/>
  <c r="T131" i="5"/>
  <c r="T114" i="5"/>
  <c r="T100" i="5"/>
  <c r="T99" i="5"/>
  <c r="T98" i="5"/>
  <c r="T97" i="5"/>
  <c r="T83" i="5"/>
  <c r="T82" i="5"/>
  <c r="T81" i="5"/>
  <c r="T67" i="5"/>
  <c r="T66" i="5"/>
  <c r="T65" i="5"/>
  <c r="T64" i="5"/>
  <c r="T63" i="5"/>
  <c r="T157" i="19" l="1"/>
  <c r="S157" i="19"/>
  <c r="H153" i="19"/>
  <c r="H174" i="18" l="1"/>
  <c r="H155" i="18"/>
  <c r="H132" i="18"/>
  <c r="H115" i="18"/>
  <c r="H98" i="18"/>
  <c r="H81" i="18"/>
  <c r="H64" i="18"/>
  <c r="U67" i="18"/>
  <c r="H189" i="19"/>
  <c r="H170" i="19"/>
  <c r="H136" i="19"/>
  <c r="H119" i="19"/>
  <c r="H102" i="19"/>
  <c r="H85" i="19"/>
  <c r="H68" i="19"/>
  <c r="U71" i="19"/>
  <c r="H174" i="5"/>
  <c r="H155" i="5"/>
  <c r="H132" i="5"/>
  <c r="H115" i="5"/>
  <c r="H98" i="5"/>
  <c r="H81" i="5"/>
  <c r="H64" i="5"/>
  <c r="U67" i="5"/>
  <c r="H167" i="3"/>
  <c r="H148" i="3"/>
  <c r="H91" i="3"/>
  <c r="H74" i="3"/>
  <c r="H57" i="3"/>
  <c r="S60" i="3"/>
  <c r="H51" i="2"/>
  <c r="H172" i="2"/>
  <c r="H153" i="2"/>
  <c r="H136" i="2"/>
  <c r="H119" i="2"/>
  <c r="H102" i="2"/>
  <c r="H85" i="2"/>
  <c r="H68" i="2"/>
  <c r="S54" i="2"/>
  <c r="T54" i="2" s="1"/>
  <c r="F52" i="2"/>
  <c r="F60" i="2" l="1"/>
  <c r="H40" i="3" l="1"/>
  <c r="F48" i="5" l="1"/>
  <c r="F23" i="13" l="1"/>
  <c r="O25" i="13" s="1"/>
  <c r="H48" i="18" l="1"/>
  <c r="O50" i="18" s="1"/>
  <c r="H52" i="19"/>
  <c r="O54" i="19" s="1"/>
  <c r="H48" i="5"/>
  <c r="O50" i="5" s="1"/>
  <c r="O42" i="3"/>
  <c r="H35" i="2"/>
  <c r="O37" i="2" s="1"/>
  <c r="S26" i="18"/>
  <c r="R26" i="18"/>
  <c r="S26" i="19"/>
  <c r="R26" i="19"/>
  <c r="S26" i="5"/>
  <c r="R26" i="5"/>
  <c r="S17" i="3"/>
  <c r="R17" i="3"/>
  <c r="H26" i="19" l="1"/>
  <c r="H26" i="18"/>
  <c r="H26" i="5"/>
  <c r="H19" i="3"/>
  <c r="B174" i="18"/>
  <c r="B155" i="18"/>
  <c r="B115" i="18"/>
  <c r="B98" i="18"/>
  <c r="B81" i="18"/>
  <c r="B64" i="18"/>
  <c r="B189" i="19"/>
  <c r="B170" i="19"/>
  <c r="B119" i="19"/>
  <c r="B102" i="19"/>
  <c r="B85" i="19"/>
  <c r="B68" i="19"/>
  <c r="B172" i="2"/>
  <c r="B153" i="2"/>
  <c r="B102" i="2"/>
  <c r="B85" i="2"/>
  <c r="B68" i="2"/>
  <c r="B167" i="3"/>
  <c r="B148" i="3"/>
  <c r="B108" i="3"/>
  <c r="B91" i="3"/>
  <c r="B74" i="3"/>
  <c r="B174" i="5"/>
  <c r="B155" i="5"/>
  <c r="B115" i="5"/>
  <c r="B81" i="5"/>
  <c r="B98" i="5"/>
  <c r="B64" i="5"/>
  <c r="B57" i="3"/>
  <c r="B51" i="2"/>
  <c r="F33" i="19" l="1"/>
  <c r="R11" i="19" l="1"/>
  <c r="AE280" i="19" l="1"/>
  <c r="AE279" i="19"/>
  <c r="AE278" i="19"/>
  <c r="AE277" i="19"/>
  <c r="AE276" i="19"/>
  <c r="AE275" i="19"/>
  <c r="AE274" i="19"/>
  <c r="AE273" i="19"/>
  <c r="AE272" i="19"/>
  <c r="AE271" i="19"/>
  <c r="AE270" i="19"/>
  <c r="AE269" i="19"/>
  <c r="AE268" i="19"/>
  <c r="AE267" i="19"/>
  <c r="AE266" i="19"/>
  <c r="F46" i="19" s="1"/>
  <c r="H50" i="19" s="1"/>
  <c r="AE265" i="19"/>
  <c r="AE264" i="19"/>
  <c r="AE263" i="19"/>
  <c r="AE262" i="19"/>
  <c r="AE261" i="19"/>
  <c r="AE260" i="19"/>
  <c r="AE259" i="19"/>
  <c r="T195" i="19"/>
  <c r="S195" i="19"/>
  <c r="F192" i="19"/>
  <c r="F190" i="19"/>
  <c r="T188" i="19"/>
  <c r="U188" i="19" s="1"/>
  <c r="F194" i="19" s="1"/>
  <c r="T176" i="19"/>
  <c r="S176" i="19"/>
  <c r="F173" i="19"/>
  <c r="F171" i="19"/>
  <c r="T169" i="19"/>
  <c r="U169" i="19" s="1"/>
  <c r="F175" i="19" s="1"/>
  <c r="T140" i="19"/>
  <c r="S140" i="19"/>
  <c r="F139" i="19"/>
  <c r="T123" i="19"/>
  <c r="S123" i="19"/>
  <c r="U118" i="19"/>
  <c r="F122" i="19" s="1"/>
  <c r="T106" i="19"/>
  <c r="S106" i="19"/>
  <c r="U104" i="19"/>
  <c r="U103" i="19"/>
  <c r="F103" i="19"/>
  <c r="U102" i="19"/>
  <c r="U101" i="19"/>
  <c r="T89" i="19"/>
  <c r="S89" i="19"/>
  <c r="U87" i="19"/>
  <c r="U86" i="19"/>
  <c r="F86" i="19"/>
  <c r="U85" i="19"/>
  <c r="U84" i="19"/>
  <c r="U72" i="19"/>
  <c r="T72" i="19"/>
  <c r="S72" i="19"/>
  <c r="U70" i="19"/>
  <c r="U69" i="19"/>
  <c r="F69" i="19"/>
  <c r="U68" i="19"/>
  <c r="U67" i="19"/>
  <c r="F54" i="19"/>
  <c r="F52" i="19"/>
  <c r="F60" i="19" s="1"/>
  <c r="H31" i="19"/>
  <c r="H24" i="19"/>
  <c r="H22" i="19"/>
  <c r="F33" i="18"/>
  <c r="F52" i="18" s="1"/>
  <c r="AE265" i="18"/>
  <c r="AE264" i="18"/>
  <c r="AE263" i="18"/>
  <c r="AE262" i="18"/>
  <c r="AE261" i="18"/>
  <c r="AE260" i="18"/>
  <c r="AE259" i="18"/>
  <c r="AE258" i="18"/>
  <c r="AE257" i="18"/>
  <c r="AE256" i="18"/>
  <c r="AE255" i="18"/>
  <c r="AE254" i="18"/>
  <c r="AE253" i="18"/>
  <c r="AE252" i="18"/>
  <c r="AE251" i="18"/>
  <c r="AE250" i="18"/>
  <c r="AE249" i="18"/>
  <c r="AE248" i="18"/>
  <c r="AE247" i="18"/>
  <c r="AE246" i="18"/>
  <c r="AE245" i="18"/>
  <c r="AE244" i="18"/>
  <c r="T180" i="18"/>
  <c r="S180" i="18"/>
  <c r="F177" i="18"/>
  <c r="F175" i="18"/>
  <c r="T173" i="18"/>
  <c r="U173" i="18" s="1"/>
  <c r="F179" i="18" s="1"/>
  <c r="T161" i="18"/>
  <c r="S161" i="18"/>
  <c r="F158" i="18"/>
  <c r="F156" i="18"/>
  <c r="T154" i="18"/>
  <c r="U154" i="18" s="1"/>
  <c r="F160" i="18" s="1"/>
  <c r="T136" i="18"/>
  <c r="S136" i="18"/>
  <c r="F135" i="18"/>
  <c r="T119" i="18"/>
  <c r="S119" i="18"/>
  <c r="U114" i="18"/>
  <c r="F118" i="18" s="1"/>
  <c r="T102" i="18"/>
  <c r="S102" i="18"/>
  <c r="U100" i="18"/>
  <c r="U99" i="18"/>
  <c r="F99" i="18"/>
  <c r="F101" i="18" s="1"/>
  <c r="U98" i="18"/>
  <c r="U97" i="18"/>
  <c r="T85" i="18"/>
  <c r="S85" i="18"/>
  <c r="U83" i="18"/>
  <c r="U82" i="18"/>
  <c r="F82" i="18"/>
  <c r="U81" i="18"/>
  <c r="U80" i="18"/>
  <c r="U68" i="18"/>
  <c r="T68" i="18"/>
  <c r="S68" i="18"/>
  <c r="U66" i="18"/>
  <c r="U65" i="18"/>
  <c r="F65" i="18"/>
  <c r="U64" i="18"/>
  <c r="U63" i="18"/>
  <c r="F50" i="18"/>
  <c r="F48" i="18"/>
  <c r="F56" i="18" s="1"/>
  <c r="F42" i="18"/>
  <c r="H46" i="18" s="1"/>
  <c r="H31" i="18"/>
  <c r="H24" i="18"/>
  <c r="H22" i="18"/>
  <c r="F67" i="18" l="1"/>
  <c r="F71" i="19"/>
  <c r="F88" i="19"/>
  <c r="F84" i="18"/>
  <c r="F56" i="19"/>
  <c r="F40" i="19"/>
  <c r="F105" i="19"/>
  <c r="F54" i="18"/>
  <c r="H31" i="5"/>
  <c r="H24" i="5"/>
  <c r="H22" i="5"/>
  <c r="H21" i="3"/>
  <c r="F177" i="5"/>
  <c r="F175" i="5"/>
  <c r="F158" i="5"/>
  <c r="F156" i="5"/>
  <c r="F88" i="18" l="1"/>
  <c r="U88" i="18" s="1"/>
  <c r="I84" i="18" s="1"/>
  <c r="F58" i="19"/>
  <c r="F162" i="18"/>
  <c r="F122" i="18"/>
  <c r="F164" i="18"/>
  <c r="F71" i="18"/>
  <c r="F111" i="18"/>
  <c r="F94" i="18"/>
  <c r="F189" i="18"/>
  <c r="F170" i="18"/>
  <c r="F145" i="18"/>
  <c r="F128" i="18"/>
  <c r="F77" i="18"/>
  <c r="F120" i="18"/>
  <c r="F69" i="18"/>
  <c r="F75" i="18"/>
  <c r="F109" i="18"/>
  <c r="F92" i="18"/>
  <c r="F187" i="18"/>
  <c r="F168" i="18"/>
  <c r="F143" i="18"/>
  <c r="F126" i="18"/>
  <c r="F139" i="18"/>
  <c r="F181" i="18"/>
  <c r="F103" i="18"/>
  <c r="F137" i="18"/>
  <c r="F86" i="18"/>
  <c r="F183" i="18"/>
  <c r="F105" i="18"/>
  <c r="T180" i="5"/>
  <c r="S180" i="5"/>
  <c r="T173" i="5"/>
  <c r="U173" i="5" s="1"/>
  <c r="F179" i="5" s="1"/>
  <c r="T161" i="5"/>
  <c r="S161" i="5"/>
  <c r="T154" i="5"/>
  <c r="U154" i="5" s="1"/>
  <c r="F160" i="5" s="1"/>
  <c r="T136" i="5"/>
  <c r="S136" i="5"/>
  <c r="F135" i="5"/>
  <c r="T119" i="5"/>
  <c r="S119" i="5"/>
  <c r="U114" i="5"/>
  <c r="F118" i="5" s="1"/>
  <c r="T102" i="5"/>
  <c r="S102" i="5"/>
  <c r="U100" i="5"/>
  <c r="U99" i="5"/>
  <c r="F99" i="5"/>
  <c r="U98" i="5"/>
  <c r="U97" i="5"/>
  <c r="T85" i="5"/>
  <c r="S85" i="5"/>
  <c r="U83" i="5"/>
  <c r="U82" i="5"/>
  <c r="F82" i="5"/>
  <c r="U81" i="5"/>
  <c r="U80" i="5"/>
  <c r="U68" i="5"/>
  <c r="T68" i="5"/>
  <c r="S68" i="5"/>
  <c r="U66" i="5"/>
  <c r="U65" i="5"/>
  <c r="F65" i="5"/>
  <c r="U64" i="5"/>
  <c r="U63" i="5"/>
  <c r="F67" i="5" l="1"/>
  <c r="H63" i="5" s="1"/>
  <c r="F126" i="19"/>
  <c r="U126" i="19" s="1"/>
  <c r="I122" i="19" s="1"/>
  <c r="F166" i="19"/>
  <c r="U166" i="19" s="1"/>
  <c r="I162" i="19" s="1"/>
  <c r="F164" i="19"/>
  <c r="F160" i="19"/>
  <c r="U160" i="19" s="1"/>
  <c r="I156" i="19" s="1"/>
  <c r="F158" i="19"/>
  <c r="F149" i="19"/>
  <c r="U149" i="19" s="1"/>
  <c r="I145" i="19" s="1"/>
  <c r="F130" i="19"/>
  <c r="F115" i="19"/>
  <c r="U115" i="19" s="1"/>
  <c r="I111" i="19" s="1"/>
  <c r="F143" i="19"/>
  <c r="U143" i="19" s="1"/>
  <c r="I139" i="19" s="1"/>
  <c r="F92" i="19"/>
  <c r="U92" i="19" s="1"/>
  <c r="I88" i="19" s="1"/>
  <c r="F183" i="19"/>
  <c r="F109" i="19"/>
  <c r="U109" i="19" s="1"/>
  <c r="I105" i="19" s="1"/>
  <c r="F202" i="19"/>
  <c r="F113" i="19"/>
  <c r="F185" i="19"/>
  <c r="U185" i="19" s="1"/>
  <c r="I181" i="19" s="1"/>
  <c r="F96" i="19"/>
  <c r="F124" i="19"/>
  <c r="F177" i="19"/>
  <c r="F90" i="19"/>
  <c r="F79" i="19"/>
  <c r="F81" i="19"/>
  <c r="U81" i="19" s="1"/>
  <c r="I77" i="19" s="1"/>
  <c r="F204" i="19"/>
  <c r="U204" i="19" s="1"/>
  <c r="I200" i="19" s="1"/>
  <c r="F179" i="19"/>
  <c r="U179" i="19" s="1"/>
  <c r="I175" i="19" s="1"/>
  <c r="F147" i="19"/>
  <c r="F196" i="19"/>
  <c r="F198" i="19"/>
  <c r="U198" i="19" s="1"/>
  <c r="I194" i="19" s="1"/>
  <c r="F75" i="19"/>
  <c r="U75" i="19" s="1"/>
  <c r="I71" i="19" s="1"/>
  <c r="F107" i="19"/>
  <c r="F132" i="19"/>
  <c r="U132" i="19" s="1"/>
  <c r="I128" i="19" s="1"/>
  <c r="F98" i="19"/>
  <c r="U98" i="19" s="1"/>
  <c r="I94" i="19" s="1"/>
  <c r="F141" i="19"/>
  <c r="F73" i="19"/>
  <c r="F84" i="5"/>
  <c r="H80" i="5" s="1"/>
  <c r="U71" i="18"/>
  <c r="I67" i="18" s="1"/>
  <c r="U105" i="18"/>
  <c r="I101" i="18" s="1"/>
  <c r="U77" i="18"/>
  <c r="I73" i="18" s="1"/>
  <c r="U189" i="18"/>
  <c r="I185" i="18" s="1"/>
  <c r="U164" i="18"/>
  <c r="I160" i="18" s="1"/>
  <c r="U170" i="18"/>
  <c r="I166" i="18" s="1"/>
  <c r="U183" i="18"/>
  <c r="I179" i="18" s="1"/>
  <c r="U128" i="18"/>
  <c r="I124" i="18" s="1"/>
  <c r="U94" i="18"/>
  <c r="I90" i="18" s="1"/>
  <c r="U122" i="18"/>
  <c r="I118" i="18" s="1"/>
  <c r="U139" i="18"/>
  <c r="I135" i="18" s="1"/>
  <c r="U145" i="18"/>
  <c r="I141" i="18" s="1"/>
  <c r="U111" i="18"/>
  <c r="I107" i="18" s="1"/>
  <c r="F101" i="5"/>
  <c r="H97" i="5" s="1"/>
  <c r="F168" i="3"/>
  <c r="F149" i="3"/>
  <c r="S124" i="3"/>
  <c r="S107" i="3"/>
  <c r="S93" i="3"/>
  <c r="S92" i="3"/>
  <c r="S91" i="3"/>
  <c r="S90" i="3"/>
  <c r="S76" i="3"/>
  <c r="S75" i="3"/>
  <c r="S74" i="3"/>
  <c r="S73" i="3"/>
  <c r="S59" i="3"/>
  <c r="S58" i="3"/>
  <c r="S57" i="3"/>
  <c r="S56" i="3"/>
  <c r="F151" i="3"/>
  <c r="F170" i="3"/>
  <c r="F92" i="3" l="1"/>
  <c r="F75" i="3"/>
  <c r="F58" i="3"/>
  <c r="F175" i="2" l="1"/>
  <c r="S178" i="2" l="1"/>
  <c r="R178" i="2"/>
  <c r="S159" i="2"/>
  <c r="R159" i="2"/>
  <c r="S140" i="2"/>
  <c r="R140" i="2"/>
  <c r="S123" i="2"/>
  <c r="R123" i="2"/>
  <c r="S106" i="2"/>
  <c r="R106" i="2"/>
  <c r="S89" i="2"/>
  <c r="R89" i="2"/>
  <c r="F173" i="2" l="1"/>
  <c r="S72" i="2"/>
  <c r="R72" i="2"/>
  <c r="S70" i="2"/>
  <c r="S69" i="2"/>
  <c r="F69" i="2"/>
  <c r="S68" i="2"/>
  <c r="S67" i="2"/>
  <c r="S101" i="2"/>
  <c r="S118" i="2"/>
  <c r="F122" i="2" s="1"/>
  <c r="K57" i="8" l="1"/>
  <c r="K55" i="8"/>
  <c r="K51" i="8"/>
  <c r="K49" i="8"/>
  <c r="M44" i="8"/>
  <c r="H44" i="8"/>
  <c r="F20" i="8"/>
  <c r="M32" i="8"/>
  <c r="F32" i="8"/>
  <c r="M28" i="8"/>
  <c r="F28" i="8"/>
  <c r="M24" i="8"/>
  <c r="F24" i="8"/>
  <c r="M20" i="8"/>
  <c r="M16" i="8"/>
  <c r="F16" i="8"/>
  <c r="M11" i="8"/>
  <c r="H11" i="8"/>
  <c r="D9" i="7" l="1"/>
  <c r="D10" i="7"/>
  <c r="D11" i="7"/>
  <c r="D12" i="7"/>
  <c r="D13" i="7"/>
  <c r="D14" i="7"/>
  <c r="D15" i="7"/>
  <c r="D16" i="7"/>
  <c r="D17" i="7"/>
  <c r="D18" i="7"/>
  <c r="D19" i="7"/>
  <c r="D20" i="7"/>
  <c r="D21" i="7"/>
  <c r="D22" i="7"/>
  <c r="D23" i="7"/>
  <c r="D24" i="7"/>
  <c r="D25" i="7"/>
  <c r="D26" i="7"/>
  <c r="D27" i="7"/>
  <c r="D28" i="7"/>
  <c r="D29" i="7"/>
  <c r="D30" i="7"/>
  <c r="F33" i="5"/>
  <c r="F52" i="5" s="1"/>
  <c r="F56" i="5"/>
  <c r="F50" i="5"/>
  <c r="AE244" i="5"/>
  <c r="AE245" i="5"/>
  <c r="AE246" i="5"/>
  <c r="AE247" i="5"/>
  <c r="AE248" i="5"/>
  <c r="F42" i="5" s="1"/>
  <c r="H46" i="5" s="1"/>
  <c r="AE249" i="5"/>
  <c r="AE250" i="5"/>
  <c r="AE251" i="5"/>
  <c r="AE252" i="5"/>
  <c r="AE253" i="5"/>
  <c r="AE254" i="5"/>
  <c r="AE255" i="5"/>
  <c r="AE256" i="5"/>
  <c r="AE257" i="5"/>
  <c r="AE258" i="5"/>
  <c r="AE259" i="5"/>
  <c r="AE260" i="5"/>
  <c r="AE261" i="5"/>
  <c r="AE262" i="5"/>
  <c r="AE263" i="5"/>
  <c r="AE264" i="5"/>
  <c r="AE265" i="5"/>
  <c r="H17" i="3"/>
  <c r="F23" i="3"/>
  <c r="F40" i="3"/>
  <c r="F48" i="3" s="1"/>
  <c r="F42" i="3"/>
  <c r="AD239" i="3"/>
  <c r="AD240" i="3"/>
  <c r="AD241" i="3"/>
  <c r="AD242" i="3"/>
  <c r="AD243" i="3"/>
  <c r="AD244" i="3"/>
  <c r="AD245" i="3"/>
  <c r="AD246" i="3"/>
  <c r="AD247" i="3"/>
  <c r="AD248" i="3"/>
  <c r="AD249" i="3"/>
  <c r="AD250" i="3"/>
  <c r="AD251" i="3"/>
  <c r="AD252" i="3"/>
  <c r="AD253" i="3"/>
  <c r="AD254" i="3"/>
  <c r="AD255" i="3"/>
  <c r="AD256" i="3"/>
  <c r="AD257" i="3"/>
  <c r="AD258" i="3"/>
  <c r="AD259" i="3"/>
  <c r="AD260" i="3"/>
  <c r="F19" i="2"/>
  <c r="F39" i="2" s="1"/>
  <c r="F35" i="2"/>
  <c r="F43" i="2" s="1"/>
  <c r="F37" i="2"/>
  <c r="S50" i="2"/>
  <c r="S51" i="2"/>
  <c r="S52" i="2"/>
  <c r="S53" i="2"/>
  <c r="R55" i="2"/>
  <c r="S55" i="2"/>
  <c r="T55" i="2"/>
  <c r="S84" i="2"/>
  <c r="S85" i="2"/>
  <c r="F86" i="2"/>
  <c r="S86" i="2"/>
  <c r="S87" i="2"/>
  <c r="F154" i="2"/>
  <c r="F156" i="2"/>
  <c r="AD201" i="2"/>
  <c r="AD202" i="2"/>
  <c r="AD203" i="2"/>
  <c r="AD204" i="2"/>
  <c r="AD205" i="2"/>
  <c r="AD206" i="2"/>
  <c r="AD207" i="2"/>
  <c r="AD208" i="2"/>
  <c r="AD209" i="2"/>
  <c r="AD210" i="2"/>
  <c r="AD211" i="2"/>
  <c r="AD212" i="2"/>
  <c r="AD213" i="2"/>
  <c r="AD214" i="2"/>
  <c r="AD215" i="2"/>
  <c r="AD216" i="2"/>
  <c r="AD217" i="2"/>
  <c r="AD218" i="2"/>
  <c r="AD219" i="2"/>
  <c r="AD220" i="2"/>
  <c r="AD221" i="2"/>
  <c r="AD222" i="2"/>
  <c r="F31" i="13"/>
  <c r="F33" i="13" s="1"/>
  <c r="J57" i="13"/>
  <c r="U57" i="13"/>
  <c r="U58" i="13"/>
  <c r="U59" i="13"/>
  <c r="U60" i="13"/>
  <c r="T62" i="13"/>
  <c r="U62" i="13"/>
  <c r="V62" i="13"/>
  <c r="U74" i="13"/>
  <c r="U75" i="13"/>
  <c r="U76" i="13"/>
  <c r="U77" i="13"/>
  <c r="T79" i="13"/>
  <c r="U79" i="13"/>
  <c r="AF118" i="13"/>
  <c r="AF119" i="13"/>
  <c r="AF120" i="13"/>
  <c r="AF121" i="13"/>
  <c r="AF122" i="13"/>
  <c r="AF123" i="13"/>
  <c r="AF124" i="13"/>
  <c r="AF125" i="13"/>
  <c r="AF126" i="13"/>
  <c r="AF127" i="13"/>
  <c r="AF128" i="13"/>
  <c r="AF129" i="13"/>
  <c r="AF130" i="13"/>
  <c r="AF131" i="13"/>
  <c r="AF132" i="13"/>
  <c r="AF133" i="13"/>
  <c r="AF134" i="13"/>
  <c r="AF135" i="13"/>
  <c r="AF136" i="13"/>
  <c r="AF137" i="13"/>
  <c r="AF138" i="13"/>
  <c r="AF139" i="13"/>
  <c r="F32" i="3" l="1"/>
  <c r="H38" i="3" s="1"/>
  <c r="F29" i="2"/>
  <c r="H33" i="2" s="1"/>
  <c r="F21" i="13"/>
  <c r="F54" i="5"/>
  <c r="R23" i="2"/>
  <c r="S152" i="2" s="1"/>
  <c r="T152" i="2" s="1"/>
  <c r="F158" i="2" s="1"/>
  <c r="F29" i="13"/>
  <c r="F44" i="3"/>
  <c r="S26" i="3" s="1"/>
  <c r="T60" i="3" s="1"/>
  <c r="S112" i="3"/>
  <c r="S129" i="3"/>
  <c r="S78" i="3"/>
  <c r="S61" i="3"/>
  <c r="R129" i="3"/>
  <c r="S95" i="3"/>
  <c r="R78" i="3"/>
  <c r="R61" i="3"/>
  <c r="S173" i="3"/>
  <c r="S154" i="3"/>
  <c r="R95" i="3"/>
  <c r="R173" i="3"/>
  <c r="R154" i="3"/>
  <c r="R112" i="3"/>
  <c r="T61" i="3"/>
  <c r="F128" i="3"/>
  <c r="F41" i="2"/>
  <c r="F185" i="2" s="1"/>
  <c r="F35" i="13" l="1"/>
  <c r="G51" i="13"/>
  <c r="D39" i="13" s="1"/>
  <c r="T87" i="2"/>
  <c r="T86" i="2"/>
  <c r="T101" i="2"/>
  <c r="F105" i="2" s="1"/>
  <c r="F107" i="2" s="1"/>
  <c r="T53" i="2"/>
  <c r="T84" i="2"/>
  <c r="T50" i="2"/>
  <c r="T69" i="2"/>
  <c r="T51" i="2"/>
  <c r="T68" i="2"/>
  <c r="T52" i="2"/>
  <c r="F54" i="2" s="1"/>
  <c r="T85" i="2"/>
  <c r="T67" i="2"/>
  <c r="S171" i="2"/>
  <c r="T171" i="2" s="1"/>
  <c r="F177" i="2" s="1"/>
  <c r="F179" i="2" s="1"/>
  <c r="T70" i="2"/>
  <c r="S147" i="3"/>
  <c r="T147" i="3" s="1"/>
  <c r="F153" i="3" s="1"/>
  <c r="S166" i="3"/>
  <c r="T166" i="3" s="1"/>
  <c r="F172" i="3" s="1"/>
  <c r="T59" i="3"/>
  <c r="F60" i="3" s="1"/>
  <c r="T57" i="3"/>
  <c r="T74" i="3"/>
  <c r="T58" i="3"/>
  <c r="T73" i="3"/>
  <c r="T91" i="3"/>
  <c r="T76" i="3"/>
  <c r="T90" i="3"/>
  <c r="T75" i="3"/>
  <c r="T92" i="3"/>
  <c r="T93" i="3"/>
  <c r="T56" i="3"/>
  <c r="F71" i="5"/>
  <c r="F170" i="5"/>
  <c r="F128" i="5"/>
  <c r="F94" i="5"/>
  <c r="F164" i="5"/>
  <c r="F122" i="5"/>
  <c r="F88" i="5"/>
  <c r="F145" i="5"/>
  <c r="F111" i="5"/>
  <c r="F77" i="5"/>
  <c r="F183" i="5"/>
  <c r="F139" i="5"/>
  <c r="F105" i="5"/>
  <c r="F189" i="5"/>
  <c r="F137" i="5"/>
  <c r="F187" i="5"/>
  <c r="F103" i="5"/>
  <c r="F92" i="5"/>
  <c r="F109" i="5"/>
  <c r="F126" i="5"/>
  <c r="F120" i="5"/>
  <c r="F181" i="5"/>
  <c r="F86" i="5"/>
  <c r="F75" i="5"/>
  <c r="F69" i="5"/>
  <c r="F168" i="5"/>
  <c r="F143" i="5"/>
  <c r="F162" i="5"/>
  <c r="F46" i="3"/>
  <c r="F70" i="3" s="1"/>
  <c r="T70" i="3" s="1"/>
  <c r="I66" i="3" s="1"/>
  <c r="T107" i="3"/>
  <c r="F111" i="3" s="1"/>
  <c r="F132" i="2"/>
  <c r="T132" i="2" s="1"/>
  <c r="I128" i="2" s="1"/>
  <c r="F81" i="2"/>
  <c r="T81" i="2" s="1"/>
  <c r="I77" i="2" s="1"/>
  <c r="F187" i="2"/>
  <c r="T187" i="2" s="1"/>
  <c r="I183" i="2" s="1"/>
  <c r="F79" i="2"/>
  <c r="F130" i="2"/>
  <c r="F124" i="2"/>
  <c r="F126" i="2"/>
  <c r="T126" i="2" s="1"/>
  <c r="I122" i="2" s="1"/>
  <c r="F149" i="2"/>
  <c r="T149" i="2" s="1"/>
  <c r="I145" i="2" s="1"/>
  <c r="F143" i="2"/>
  <c r="T143" i="2" s="1"/>
  <c r="I139" i="2" s="1"/>
  <c r="F141" i="2"/>
  <c r="F147" i="2"/>
  <c r="F115" i="2"/>
  <c r="T115" i="2" s="1"/>
  <c r="I111" i="2" s="1"/>
  <c r="F113" i="2"/>
  <c r="F62" i="2"/>
  <c r="F98" i="2"/>
  <c r="T98" i="2" s="1"/>
  <c r="I94" i="2" s="1"/>
  <c r="F64" i="2"/>
  <c r="T64" i="2" s="1"/>
  <c r="I60" i="2" s="1"/>
  <c r="F162" i="2"/>
  <c r="T162" i="2" s="1"/>
  <c r="I158" i="2" s="1"/>
  <c r="F96" i="2"/>
  <c r="F160" i="2"/>
  <c r="F168" i="2"/>
  <c r="T168" i="2" s="1"/>
  <c r="I164" i="2" s="1"/>
  <c r="F166" i="2"/>
  <c r="F94" i="3" l="1"/>
  <c r="H90" i="3" s="1"/>
  <c r="F77" i="3"/>
  <c r="H73" i="3" s="1"/>
  <c r="H56" i="3"/>
  <c r="F88" i="2"/>
  <c r="H84" i="2" s="1"/>
  <c r="F109" i="2"/>
  <c r="T109" i="2" s="1"/>
  <c r="I105" i="2" s="1"/>
  <c r="F56" i="2"/>
  <c r="F71" i="2"/>
  <c r="H67" i="2" s="1"/>
  <c r="F181" i="2"/>
  <c r="T181" i="2" s="1"/>
  <c r="I177" i="2" s="1"/>
  <c r="U105" i="5"/>
  <c r="I101" i="5" s="1"/>
  <c r="U111" i="5"/>
  <c r="I107" i="5" s="1"/>
  <c r="U164" i="5"/>
  <c r="I160" i="5" s="1"/>
  <c r="U139" i="5"/>
  <c r="I135" i="5" s="1"/>
  <c r="U145" i="5"/>
  <c r="I141" i="5" s="1"/>
  <c r="U94" i="5"/>
  <c r="I90" i="5" s="1"/>
  <c r="U183" i="5"/>
  <c r="I179" i="5" s="1"/>
  <c r="U88" i="5"/>
  <c r="I84" i="5" s="1"/>
  <c r="U128" i="5"/>
  <c r="I124" i="5" s="1"/>
  <c r="F182" i="3"/>
  <c r="T182" i="3" s="1"/>
  <c r="I178" i="3" s="1"/>
  <c r="U189" i="5"/>
  <c r="I185" i="5" s="1"/>
  <c r="U77" i="5"/>
  <c r="I73" i="5" s="1"/>
  <c r="U122" i="5"/>
  <c r="I118" i="5" s="1"/>
  <c r="U170" i="5"/>
  <c r="I166" i="5" s="1"/>
  <c r="U71" i="5"/>
  <c r="I67" i="5" s="1"/>
  <c r="F130" i="3"/>
  <c r="F161" i="3"/>
  <c r="F68" i="3"/>
  <c r="F174" i="3"/>
  <c r="F119" i="3"/>
  <c r="F176" i="3"/>
  <c r="T176" i="3" s="1"/>
  <c r="I172" i="3" s="1"/>
  <c r="F180" i="3"/>
  <c r="F102" i="3"/>
  <c r="F104" i="3"/>
  <c r="T104" i="3" s="1"/>
  <c r="I100" i="3" s="1"/>
  <c r="F85" i="3"/>
  <c r="F155" i="3"/>
  <c r="F136" i="3"/>
  <c r="F138" i="3"/>
  <c r="T138" i="3" s="1"/>
  <c r="I134" i="3" s="1"/>
  <c r="F121" i="3"/>
  <c r="T121" i="3" s="1"/>
  <c r="I117" i="3" s="1"/>
  <c r="F132" i="3"/>
  <c r="T132" i="3" s="1"/>
  <c r="I128" i="3" s="1"/>
  <c r="F157" i="3"/>
  <c r="T157" i="3" s="1"/>
  <c r="I153" i="3" s="1"/>
  <c r="F87" i="3"/>
  <c r="T87" i="3" s="1"/>
  <c r="I83" i="3" s="1"/>
  <c r="F163" i="3"/>
  <c r="T163" i="3" s="1"/>
  <c r="I159" i="3" s="1"/>
  <c r="F113" i="3"/>
  <c r="F115" i="3"/>
  <c r="T115" i="3" s="1"/>
  <c r="I111" i="3" s="1"/>
  <c r="F98" i="3" l="1"/>
  <c r="T98" i="3" s="1"/>
  <c r="I94" i="3" s="1"/>
  <c r="F96" i="3"/>
  <c r="F79" i="3"/>
  <c r="F92" i="2"/>
  <c r="T92" i="2" s="1"/>
  <c r="I88" i="2" s="1"/>
  <c r="F81" i="3"/>
  <c r="T81" i="3" s="1"/>
  <c r="I77" i="3" s="1"/>
  <c r="F62" i="3"/>
  <c r="F64" i="3"/>
  <c r="T64" i="3" s="1"/>
  <c r="I60" i="3" s="1"/>
  <c r="F90" i="2"/>
  <c r="H50" i="2"/>
  <c r="F58" i="2"/>
  <c r="T58" i="2" s="1"/>
  <c r="I54" i="2" s="1"/>
  <c r="F73" i="2"/>
  <c r="F75" i="2"/>
  <c r="T75" i="2" s="1"/>
  <c r="I71" i="2" s="1"/>
</calcChain>
</file>

<file path=xl/comments1.xml><?xml version="1.0" encoding="utf-8"?>
<comments xmlns="http://schemas.openxmlformats.org/spreadsheetml/2006/main">
  <authors>
    <author>Matt Tones</author>
  </authors>
  <commentList>
    <comment ref="F7" authorId="0">
      <text>
        <r>
          <rPr>
            <b/>
            <sz val="12"/>
            <color indexed="81"/>
            <rFont val="Tahoma"/>
            <family val="2"/>
          </rPr>
          <t>Round up to the next highest value if your gasket thickness is not shown in the dropdown menu.  If your gasket thickness exceeds 1/8" consult Applications Engineering at (800) 448-6688.
NOTE: 3/32" is for GYLON EPIX Styles ONLY.</t>
        </r>
      </text>
    </comment>
    <comment ref="F11" authorId="0">
      <text>
        <r>
          <rPr>
            <b/>
            <sz val="12"/>
            <color indexed="81"/>
            <rFont val="Tahoma"/>
            <family val="2"/>
          </rPr>
          <t xml:space="preserve">SPIRAL WOUND GASKET NOTE: Be sure to use the winding element I.D. when calculating a torque for a spiral wound gasket.  NOT the inner ring ID.
</t>
        </r>
      </text>
    </comment>
    <comment ref="F13" authorId="0">
      <text>
        <r>
          <rPr>
            <b/>
            <sz val="12"/>
            <color indexed="81"/>
            <rFont val="Tahoma"/>
            <family val="2"/>
          </rPr>
          <t>NOTE 1 (SPIRAL WOUND GASKETS): When calculating a torque for a spiral wound gasket be sure to use the OD dimensions of the winding NOT the outer ring.
NOTE 2 (KAMMPROFILE GASKETS):  When calculating a torque for a kammprofile be sure to use the OD dimensions from the faced portion of the gasket NOT the outer ring.
NOTE 3 (CUT GASKET): When calculating a torque for a cut gaskets if the flanges are RAISED FACE the raised portion of the flange is likely smaller than the gasket OD, and should be used as the "Gasket Contact OD" (see diagram to the left).</t>
        </r>
      </text>
    </comment>
  </commentList>
</comments>
</file>

<file path=xl/comments2.xml><?xml version="1.0" encoding="utf-8"?>
<comments xmlns="http://schemas.openxmlformats.org/spreadsheetml/2006/main">
  <authors>
    <author>Matt Tones</author>
  </authors>
  <commentList>
    <comment ref="F7" authorId="0">
      <text>
        <r>
          <rPr>
            <b/>
            <sz val="12"/>
            <color indexed="81"/>
            <rFont val="Tahoma"/>
            <family val="2"/>
          </rPr>
          <t>Round up to the next highest value if your gasket thickness is not shown in the dropdown menu.  If your gasket thickness exceeds 1/8" consult Applications Engineering at (800) 448-6688.
NOTE: 3/32" is for GYLON EPIX Styles ONLY.</t>
        </r>
      </text>
    </comment>
  </commentList>
</comments>
</file>

<file path=xl/comments3.xml><?xml version="1.0" encoding="utf-8"?>
<comments xmlns="http://schemas.openxmlformats.org/spreadsheetml/2006/main">
  <authors>
    <author>Matt Tones</author>
    <author>Tones, Matt</author>
  </authors>
  <commentList>
    <comment ref="F7" authorId="0">
      <text>
        <r>
          <rPr>
            <b/>
            <sz val="12"/>
            <color indexed="81"/>
            <rFont val="Tahoma"/>
            <family val="2"/>
          </rPr>
          <t>Round up to the next highest value if your gasket thickness is not shown in the dropdown menu.  If your gasket thickness exceeds 1/8" consult Applications Engineering at (800) 448-6688.
NOTE: 3/32" is for GYLON EPIX Styles ONLY.</t>
        </r>
      </text>
    </comment>
    <comment ref="H22" authorId="1">
      <text>
        <r>
          <rPr>
            <b/>
            <sz val="12"/>
            <color indexed="81"/>
            <rFont val="Tahoma"/>
            <family val="2"/>
          </rPr>
          <t>NOTE: Garlock prefers a minimum cross section 1/2" for optimum performance.  A "FALSE" statement will appear if your gasket cross section from the ID to the bolt hole is less than 1/2".</t>
        </r>
      </text>
    </comment>
    <comment ref="H24" authorId="1">
      <text>
        <r>
          <rPr>
            <b/>
            <sz val="12"/>
            <color indexed="81"/>
            <rFont val="Tahoma"/>
            <family val="2"/>
          </rPr>
          <t>NOTE: Garlock prefers a minimum cross section 1/2" for optimum performance.  A "FALSE" statement will appear if your gasket cross section from the ID to the bolt hole is less than 1/2".</t>
        </r>
      </text>
    </comment>
  </commentList>
</comments>
</file>

<file path=xl/comments4.xml><?xml version="1.0" encoding="utf-8"?>
<comments xmlns="http://schemas.openxmlformats.org/spreadsheetml/2006/main">
  <authors>
    <author>Matt Tones</author>
    <author>Tones, Matt</author>
  </authors>
  <commentList>
    <comment ref="F7" authorId="0">
      <text>
        <r>
          <rPr>
            <b/>
            <sz val="12"/>
            <color indexed="81"/>
            <rFont val="Tahoma"/>
            <family val="2"/>
          </rPr>
          <t>Round up to the next highest value if your gasket thickness is not shown in the dropdown menu.  If your gasket thickness exceeds 1/8" consult Applications Engineering at (800) 448-6688.
NOTE: 3/32" is for GYLON EPIX Styles ONLY.</t>
        </r>
      </text>
    </comment>
    <comment ref="F11" authorId="1">
      <text>
        <r>
          <rPr>
            <b/>
            <sz val="12"/>
            <color indexed="81"/>
            <rFont val="Tahoma"/>
            <family val="2"/>
          </rPr>
          <t>NOTE 1 (SPIRAL WOUND GASKETS): When calculating a torque for a spiral wound gasket be sure to use the dimensions of the winding NOT the inner/outer ring.
NOTE 2 (KAMMPROFILE GASKETS):  When calculating a torque for a kammprofile be sure to use the dimensions from the faced portion of the gasket NOT the outer ring.</t>
        </r>
        <r>
          <rPr>
            <sz val="9"/>
            <color indexed="81"/>
            <rFont val="Tahoma"/>
            <charset val="1"/>
          </rPr>
          <t xml:space="preserve">
</t>
        </r>
      </text>
    </comment>
    <comment ref="F13" authorId="1">
      <text>
        <r>
          <rPr>
            <b/>
            <sz val="12"/>
            <color indexed="81"/>
            <rFont val="Tahoma"/>
            <family val="2"/>
          </rPr>
          <t>NOTE 1 (SPIRAL WOUND GASKETS): When calculating a torque for a spiral wound gasket be sure to use the dimensions of the winding NOT the inner/outer ring.
NOTE 2 (KAMMPROFILE GASKETS):  When calculating a torque for a kammprofile be sure to use the dimensions from the faced portion of the gasket NOT the outer ring.</t>
        </r>
      </text>
    </comment>
    <comment ref="F15" authorId="1">
      <text>
        <r>
          <rPr>
            <b/>
            <sz val="12"/>
            <color indexed="81"/>
            <rFont val="Tahoma"/>
            <family val="2"/>
          </rPr>
          <t>NOTE 1 (SPIRAL WOUND GASKETS): When calculating a torque for a spiral wound gasket be sure to use the dimensions of the winding NOT the inner/outer ring.
NOTE 2 (KAMMPROFILE GASKETS):  When calculating a torque for a kammprofile be sure to use the dimensions from the faced portion of the gasket NOT the outer ring.</t>
        </r>
      </text>
    </comment>
    <comment ref="F17" authorId="1">
      <text>
        <r>
          <rPr>
            <b/>
            <sz val="12"/>
            <color indexed="81"/>
            <rFont val="Tahoma"/>
            <family val="2"/>
          </rPr>
          <t>NOTE 1 (SPIRAL WOUND GASKETS): When calculating a torque for a spiral wound gasket be sure to use the dimensions of the winding NOT the inner/outer ring.
NOTE 2 (KAMMPROFILE GASKETS):  When calculating a torque for a kammprofile be sure to use the dimensions from the faced portion of the gasket NOT the outer ring.</t>
        </r>
      </text>
    </comment>
    <comment ref="H22" authorId="1">
      <text>
        <r>
          <rPr>
            <b/>
            <sz val="9"/>
            <color indexed="81"/>
            <rFont val="Tahoma"/>
            <family val="2"/>
          </rPr>
          <t>NOTE: Garlock prefers a minimum cross section 1/2" for optimum performance.  A "FALSE" statement will appear if your gasket cross section from the ID to the bolt hole is less than 1/2"</t>
        </r>
      </text>
    </comment>
    <comment ref="H24" authorId="1">
      <text>
        <r>
          <rPr>
            <b/>
            <sz val="9"/>
            <color indexed="81"/>
            <rFont val="Tahoma"/>
            <family val="2"/>
          </rPr>
          <t>NOTE: Garlock prefers a minimum cross section 1/2" for optimum performance.  A "FALSE" statement will appear if your gasket cross section from the ID to the bolt hole is less than 1/2"</t>
        </r>
      </text>
    </comment>
    <comment ref="F38" authorId="1">
      <text>
        <r>
          <rPr>
            <b/>
            <sz val="12"/>
            <color indexed="81"/>
            <rFont val="Tahoma"/>
            <family val="2"/>
          </rPr>
          <t>An INTERNAL flange / manway is placed inside the vessel tank, and pulled into place.  This type of manway typically only has 1 or 2 bolts.
An EXTERNAL flange / manway is outside of the tank and bolted to a flange that is mounted on the tank/vessel.</t>
        </r>
      </text>
    </comment>
  </commentList>
</comments>
</file>

<file path=xl/comments5.xml><?xml version="1.0" encoding="utf-8"?>
<comments xmlns="http://schemas.openxmlformats.org/spreadsheetml/2006/main">
  <authors>
    <author>Matt Tones</author>
    <author>Tones, Matt</author>
  </authors>
  <commentList>
    <comment ref="F7" authorId="0">
      <text>
        <r>
          <rPr>
            <b/>
            <sz val="12"/>
            <color indexed="81"/>
            <rFont val="Tahoma"/>
            <family val="2"/>
          </rPr>
          <t>Round up to the next highest value if your gasket thickness is not shown in the dropdown menu.  If your gasket thickness exceeds 1/8" consult Applications Engineering at (800) 448-6688.
NOTE: 3/32" is for GYLON EPIX Styles ONLY.</t>
        </r>
      </text>
    </comment>
    <comment ref="H22" authorId="1">
      <text>
        <r>
          <rPr>
            <b/>
            <sz val="9"/>
            <color indexed="81"/>
            <rFont val="Tahoma"/>
            <family val="2"/>
          </rPr>
          <t>NOTE: Garlock prefers a minimum cross section 1/2" for optimum performance.  A "FALSE" statement will appear if your gasket cross section from the ID to the bolt hole is less than 1/2"</t>
        </r>
      </text>
    </comment>
    <comment ref="H24" authorId="1">
      <text>
        <r>
          <rPr>
            <b/>
            <sz val="9"/>
            <color indexed="81"/>
            <rFont val="Tahoma"/>
            <family val="2"/>
          </rPr>
          <t>NOTE: Garlock prefers a minimum cross section 1/2" for optimum performance.  A "FALSE" statement will appear if your gasket cross section from the ID to the bolt hole is less than 1/2"</t>
        </r>
      </text>
    </comment>
  </commentList>
</comments>
</file>

<file path=xl/sharedStrings.xml><?xml version="1.0" encoding="utf-8"?>
<sst xmlns="http://schemas.openxmlformats.org/spreadsheetml/2006/main" count="3254" uniqueCount="450">
  <si>
    <t>Ring Gaskets (Raised Face Flanges)</t>
  </si>
  <si>
    <t>Gasket Area</t>
  </si>
  <si>
    <t xml:space="preserve">    </t>
  </si>
  <si>
    <t xml:space="preserve"> inches</t>
  </si>
  <si>
    <t xml:space="preserve"> </t>
  </si>
  <si>
    <t>Bolt Size</t>
  </si>
  <si>
    <t>Gasket Area =</t>
  </si>
  <si>
    <t xml:space="preserve"> sq. in.</t>
  </si>
  <si>
    <t>Gasket Stress</t>
  </si>
  <si>
    <t>Bolt Stress</t>
  </si>
  <si>
    <t>Force Per Bolt</t>
  </si>
  <si>
    <t xml:space="preserve"> lbs.</t>
  </si>
  <si>
    <t>Quantity of Bolts</t>
  </si>
  <si>
    <t xml:space="preserve"> sq.in.</t>
  </si>
  <si>
    <t>Gasket Stress =</t>
  </si>
  <si>
    <t>Torque per Bolt =</t>
  </si>
  <si>
    <t xml:space="preserve"> ft.lbs.</t>
  </si>
  <si>
    <t>Round Full Face Gaskets (Flat Face Flanges)</t>
  </si>
  <si>
    <t>Bolt Hole Diameter</t>
  </si>
  <si>
    <t xml:space="preserve"> psi</t>
  </si>
  <si>
    <t>Rectangular/Square Gaskets</t>
  </si>
  <si>
    <t>Table 1</t>
  </si>
  <si>
    <t xml:space="preserve">                  Stress</t>
  </si>
  <si>
    <t>Root Area</t>
  </si>
  <si>
    <t>"k"</t>
  </si>
  <si>
    <t xml:space="preserve">                     30,000 psi</t>
  </si>
  <si>
    <t xml:space="preserve">                     45,000 psi</t>
  </si>
  <si>
    <t xml:space="preserve">                     60,000 psi</t>
  </si>
  <si>
    <t>(inches)</t>
  </si>
  <si>
    <t>(sq.in.)</t>
  </si>
  <si>
    <t>Factor</t>
  </si>
  <si>
    <t>Torque (ft.lbs.)</t>
  </si>
  <si>
    <t>Force (lbs./bolt)</t>
  </si>
  <si>
    <t>Consult Engineering</t>
  </si>
  <si>
    <t>Bolt Quantity:</t>
  </si>
  <si>
    <t>Bolt Size:</t>
  </si>
  <si>
    <t>Minimum Recommended Torque per Bolt:</t>
  </si>
  <si>
    <t xml:space="preserve"> in.</t>
  </si>
  <si>
    <t>Maximum Recommended Torque per Bolt:</t>
  </si>
  <si>
    <t>FLEXSEAL® Spiral Wound Gaskets</t>
  </si>
  <si>
    <r>
      <t xml:space="preserve">(The following table is for Standard </t>
    </r>
    <r>
      <rPr>
        <b/>
        <sz val="11"/>
        <rFont val="Arial"/>
        <family val="2"/>
      </rPr>
      <t>Raised Face Flanges</t>
    </r>
    <r>
      <rPr>
        <sz val="11"/>
        <rFont val="Arial"/>
        <family val="2"/>
      </rPr>
      <t xml:space="preserve"> with ASTM 193 B7 bolts and A194 2H nuts)</t>
    </r>
  </si>
  <si>
    <t>Bolt Grade</t>
  </si>
  <si>
    <t>ASTM A193 B5</t>
  </si>
  <si>
    <t>ASTM A193 B6</t>
  </si>
  <si>
    <t>ASTM A193 B7</t>
  </si>
  <si>
    <t>ASTM A193 B8</t>
  </si>
  <si>
    <t>ASTM A193 B8C</t>
  </si>
  <si>
    <t>ASTM A193 B8M</t>
  </si>
  <si>
    <t>ASTM A193 B16</t>
  </si>
  <si>
    <t>ASTM A307 Gr. A &amp; B</t>
  </si>
  <si>
    <t>ASTM A320 B8</t>
  </si>
  <si>
    <t>ASTM A320 B8C</t>
  </si>
  <si>
    <t>ASTM A320 B8T</t>
  </si>
  <si>
    <t>ASTM A320 B8F</t>
  </si>
  <si>
    <t>ASTM A320 B8M</t>
  </si>
  <si>
    <t>ASTM A320 B8 CL. 2</t>
  </si>
  <si>
    <t>N/A</t>
  </si>
  <si>
    <t>ASTM A320 B8C CL. 2</t>
  </si>
  <si>
    <t>ASTM A320 B8F CL. 2</t>
  </si>
  <si>
    <t>ASTM A320 B8M CL. 2</t>
  </si>
  <si>
    <t>ASTM A320 B8T CL. 2</t>
  </si>
  <si>
    <t>ASTM A325 Type 1</t>
  </si>
  <si>
    <t>ASTM A325 Type 2</t>
  </si>
  <si>
    <t>ASTM A325 Type 3</t>
  </si>
  <si>
    <t>ASTM A354 Gr. BB</t>
  </si>
  <si>
    <t>ASTM A354 Gr. BC</t>
  </si>
  <si>
    <t>ASTM A354 Gr. BD</t>
  </si>
  <si>
    <t>ASTM A449</t>
  </si>
  <si>
    <t>ASTM A490</t>
  </si>
  <si>
    <t>ISO R898 CL. 4.6</t>
  </si>
  <si>
    <t>ISO R898 CL. 5.8</t>
  </si>
  <si>
    <t>ISO R898 CL. 8.8</t>
  </si>
  <si>
    <t>ISO R898 CL. 10.9</t>
  </si>
  <si>
    <t>SAE J429 Gr. 1</t>
  </si>
  <si>
    <t>SAE J429 Gr. 2</t>
  </si>
  <si>
    <t>SAE J429 Gr. 4</t>
  </si>
  <si>
    <t>SAE J429 Gr. 5</t>
  </si>
  <si>
    <t>SAE J429 Gr. 5.2</t>
  </si>
  <si>
    <t>SAE J429 Gr. 7</t>
  </si>
  <si>
    <t>SAE J429 Gr. 8</t>
  </si>
  <si>
    <t>SAE J429 Gr. 8.1</t>
  </si>
  <si>
    <t>Bolt Specifics</t>
  </si>
  <si>
    <t>Bolt Yield Strength:</t>
  </si>
  <si>
    <t>Bolt Yield Strength</t>
  </si>
  <si>
    <t>NOTE: The maximum recommended torque does not exceed 60,000 psi bolt stress.</t>
  </si>
  <si>
    <t>2)   3/4"-150#</t>
  </si>
  <si>
    <t>1)   1/2"-150#</t>
  </si>
  <si>
    <t>3)   1"-150#</t>
  </si>
  <si>
    <t>4)   1-1/4"-150#</t>
  </si>
  <si>
    <t>5)   1-1/2"-150#</t>
  </si>
  <si>
    <t>6)   2"-150#</t>
  </si>
  <si>
    <t>7)   2-1/2"-150#</t>
  </si>
  <si>
    <t>8)   3"-150#</t>
  </si>
  <si>
    <t>9)   3-1/2"-150#</t>
  </si>
  <si>
    <t>10)   4"-150#</t>
  </si>
  <si>
    <t>11)   5"-150#</t>
  </si>
  <si>
    <t>12)   6"-150#</t>
  </si>
  <si>
    <t>13)   8"-150#</t>
  </si>
  <si>
    <t>14)   10"-150#</t>
  </si>
  <si>
    <t>15)   12"-150#</t>
  </si>
  <si>
    <t>16)   14"-150#</t>
  </si>
  <si>
    <t>17)   16"-150#</t>
  </si>
  <si>
    <t>18)   18"-150#</t>
  </si>
  <si>
    <t>19)   20"-150#</t>
  </si>
  <si>
    <t>20)   24"-150#</t>
  </si>
  <si>
    <t>21)   26"-150# Series A</t>
  </si>
  <si>
    <t>22)   28"-150# Series A</t>
  </si>
  <si>
    <t>23)   30"-150# Series A</t>
  </si>
  <si>
    <t>24)   32"-150# Series A</t>
  </si>
  <si>
    <t>25)   34"-150# Series A</t>
  </si>
  <si>
    <t>26)   36"-150# Series A</t>
  </si>
  <si>
    <t>27)   38"-150# Series A</t>
  </si>
  <si>
    <t>28)   40"-150# Series A</t>
  </si>
  <si>
    <t>29)   42"-150# Series A</t>
  </si>
  <si>
    <t>30)   44"-150# Series A</t>
  </si>
  <si>
    <t>31)   46"-150# Series A</t>
  </si>
  <si>
    <t>32)   48"-150# Series A</t>
  </si>
  <si>
    <t>33)   50"-150# Series A</t>
  </si>
  <si>
    <t>34)   52"-150# Series A</t>
  </si>
  <si>
    <t>35)   54"-150# Series A</t>
  </si>
  <si>
    <t>36)   56"-150# Series A</t>
  </si>
  <si>
    <t>37)   58"-150# Series A</t>
  </si>
  <si>
    <t>38)   60"-150# Series A</t>
  </si>
  <si>
    <t>39)   26"-150# Series B</t>
  </si>
  <si>
    <t>40)   28"-150# Series B</t>
  </si>
  <si>
    <t>41)   30"-150# Series B</t>
  </si>
  <si>
    <t>42)   32"-150# Series B</t>
  </si>
  <si>
    <t>43)   34"-150# Series B</t>
  </si>
  <si>
    <t>44)   36"-150# Series B</t>
  </si>
  <si>
    <t>45)   38"-150# Series B</t>
  </si>
  <si>
    <t>46)   40"-150# Series B</t>
  </si>
  <si>
    <t>47)   42"-150# Series B</t>
  </si>
  <si>
    <t>48)   44"-150# Series B</t>
  </si>
  <si>
    <t>49)   46"-150# Series B</t>
  </si>
  <si>
    <t>50)   48"-150# Series B</t>
  </si>
  <si>
    <t>51)   50"-150# Series B</t>
  </si>
  <si>
    <t>52)   52"-150# Series B</t>
  </si>
  <si>
    <t>53)   54"-150# Series B</t>
  </si>
  <si>
    <t>54)   56"-150# Series B</t>
  </si>
  <si>
    <t>55)   58"-150# Series B</t>
  </si>
  <si>
    <t>56)   60"-150# Series B</t>
  </si>
  <si>
    <t>57)   1/2"-300#</t>
  </si>
  <si>
    <t>58)   3/4"-300#</t>
  </si>
  <si>
    <t>59)   1"-300#</t>
  </si>
  <si>
    <t>60)   1-1/4"-300#</t>
  </si>
  <si>
    <t>61)   1-1/2"-300#</t>
  </si>
  <si>
    <t>62)   2"-300#</t>
  </si>
  <si>
    <t>63)   2-1/2"-300#</t>
  </si>
  <si>
    <t>64)   3"-300#</t>
  </si>
  <si>
    <t>65)   3-1/2"-300#</t>
  </si>
  <si>
    <t>66)   4"-300#</t>
  </si>
  <si>
    <t>67)   5"-300#</t>
  </si>
  <si>
    <t>68)   6"-300#</t>
  </si>
  <si>
    <t>69)   8"-300#</t>
  </si>
  <si>
    <t>70)   10"-300#</t>
  </si>
  <si>
    <t>71)   12"-300#</t>
  </si>
  <si>
    <t>72)   14"-300#</t>
  </si>
  <si>
    <t>73)   16"-300#</t>
  </si>
  <si>
    <t>74)   18"-300#</t>
  </si>
  <si>
    <t>75)   20"-300#</t>
  </si>
  <si>
    <t>76)   24"-300#</t>
  </si>
  <si>
    <t>77)   26"-300# Series A</t>
  </si>
  <si>
    <t>78)   28"-300# Series A</t>
  </si>
  <si>
    <t>79)   30"-300# Series A</t>
  </si>
  <si>
    <t>80)   32"-300# Series A</t>
  </si>
  <si>
    <t>81)   34"-300# Series A</t>
  </si>
  <si>
    <t>82)   36"-300# Series A</t>
  </si>
  <si>
    <t>83)   38"-300# Series A</t>
  </si>
  <si>
    <t>84)   40"-300# Series A</t>
  </si>
  <si>
    <t>85)   42"-300# Series A</t>
  </si>
  <si>
    <t>86)   44"-300# Series A</t>
  </si>
  <si>
    <t>87)   46"-300# Series A</t>
  </si>
  <si>
    <t>88)   48"-300# Series A</t>
  </si>
  <si>
    <t>89)   50"-300# Series A</t>
  </si>
  <si>
    <t>90)   52"-300# Series A</t>
  </si>
  <si>
    <t>91)   54"-300# Series A</t>
  </si>
  <si>
    <t>92)   56"-300# Series A</t>
  </si>
  <si>
    <t>93)   58"-300# Series A</t>
  </si>
  <si>
    <t>94)   60"-300# Series A</t>
  </si>
  <si>
    <t>95)   26"-300# Series B</t>
  </si>
  <si>
    <t>96)   28"-300# Series B</t>
  </si>
  <si>
    <t>97)   30"-300# Series B</t>
  </si>
  <si>
    <t>98)   32"-300# Series B</t>
  </si>
  <si>
    <t>99)   34"-300# Series B</t>
  </si>
  <si>
    <t>100)   36"-300# Series B</t>
  </si>
  <si>
    <t>101)   38"-300# Series B</t>
  </si>
  <si>
    <t>102)   40"-300# Series B</t>
  </si>
  <si>
    <t>103)   42"-300# Series B</t>
  </si>
  <si>
    <t>104)   44"-300# Series B</t>
  </si>
  <si>
    <t>105)   46"-300# Series B</t>
  </si>
  <si>
    <t>106)   48"-300# Series B</t>
  </si>
  <si>
    <t>107)   50"-300# Series B</t>
  </si>
  <si>
    <t>108)   52"-300# Series B</t>
  </si>
  <si>
    <t>109)   54"-300# Series B</t>
  </si>
  <si>
    <t>110)   56"-300# Series B</t>
  </si>
  <si>
    <t>111)   58"-300# Series B</t>
  </si>
  <si>
    <t>112)   60"-300# Series B</t>
  </si>
  <si>
    <t>113)   1/2"-400#</t>
  </si>
  <si>
    <t>114)   3/4"-400#</t>
  </si>
  <si>
    <t>115)   1"-400#</t>
  </si>
  <si>
    <t>116)   1-1/4"-400#</t>
  </si>
  <si>
    <t>117)   1-1/2"-400#</t>
  </si>
  <si>
    <t>118)   2"-400#</t>
  </si>
  <si>
    <t>119)   2-1/2"-400#</t>
  </si>
  <si>
    <t>120)   3"-400#</t>
  </si>
  <si>
    <t>121)   3-1/2"-400#</t>
  </si>
  <si>
    <t>122)   4"-400#</t>
  </si>
  <si>
    <t>123)   5"-400#</t>
  </si>
  <si>
    <t>124)   6"-400#</t>
  </si>
  <si>
    <t>125)   8"-400#</t>
  </si>
  <si>
    <t>126)   10"-400#</t>
  </si>
  <si>
    <t>127)   12"-400#</t>
  </si>
  <si>
    <t>128)   14"-400#</t>
  </si>
  <si>
    <t>129)   16"-400#</t>
  </si>
  <si>
    <t>130)   18"-400#</t>
  </si>
  <si>
    <t>131)   20"-400#</t>
  </si>
  <si>
    <t>132)   24"-400#</t>
  </si>
  <si>
    <t>133)   1/2"-600#</t>
  </si>
  <si>
    <t>134)   3/4"-600#</t>
  </si>
  <si>
    <t>135)   1"-600#</t>
  </si>
  <si>
    <t>136)   1-1/4"-600#</t>
  </si>
  <si>
    <t>137)   1-1/2"-600#</t>
  </si>
  <si>
    <t>138)   2"-600#</t>
  </si>
  <si>
    <t>139)   2-1/2"-600#</t>
  </si>
  <si>
    <t>140)   3"-600#</t>
  </si>
  <si>
    <t>141)   3-1/2"-600#</t>
  </si>
  <si>
    <t>142)   4"-600#</t>
  </si>
  <si>
    <t>143)   5"-600#</t>
  </si>
  <si>
    <t>144)   6"-600#</t>
  </si>
  <si>
    <t>145)   8"-600#</t>
  </si>
  <si>
    <t>146)   10"-600#</t>
  </si>
  <si>
    <t>147)   12"-600#</t>
  </si>
  <si>
    <t>148)   14"-600#</t>
  </si>
  <si>
    <t>149)   16"-600#</t>
  </si>
  <si>
    <t>150)   18"-600#</t>
  </si>
  <si>
    <t>151)   20"-600#</t>
  </si>
  <si>
    <t>152)   24"-600#</t>
  </si>
  <si>
    <t>153)   1/2"-900#</t>
  </si>
  <si>
    <t>154)   3/4"-900#</t>
  </si>
  <si>
    <t>155)   1"-900#</t>
  </si>
  <si>
    <t>156)   1-1/4"-900#</t>
  </si>
  <si>
    <t>157)   1-1/2"-900#</t>
  </si>
  <si>
    <t>158)   2"-900#</t>
  </si>
  <si>
    <t>159)   2-1/2"-900#</t>
  </si>
  <si>
    <t>160)   3"-900#</t>
  </si>
  <si>
    <t>161)   4"-900#</t>
  </si>
  <si>
    <t>162)   5"-900#</t>
  </si>
  <si>
    <t>163)   6"-900#</t>
  </si>
  <si>
    <t>164)   8"-900#</t>
  </si>
  <si>
    <t>165)   10"-900#</t>
  </si>
  <si>
    <t>166)   12"-900#</t>
  </si>
  <si>
    <t>167)   14"-900#</t>
  </si>
  <si>
    <t>168)   16"-900#</t>
  </si>
  <si>
    <t>169)   18"-900#</t>
  </si>
  <si>
    <t>170)   20"-900#</t>
  </si>
  <si>
    <t>171)   24"-900#</t>
  </si>
  <si>
    <t>172)   1/2"-1500#</t>
  </si>
  <si>
    <t>173)   3/4"-1500#</t>
  </si>
  <si>
    <t>174)   1"-1500#</t>
  </si>
  <si>
    <t>175)   1-1/4"-1500#</t>
  </si>
  <si>
    <t>176)   1-1/2"-1500#</t>
  </si>
  <si>
    <t>177)   2"-1500#</t>
  </si>
  <si>
    <t>178)   2-1/2"-1500#</t>
  </si>
  <si>
    <t>179)   3"-1500#</t>
  </si>
  <si>
    <t>180)   4"-1500#</t>
  </si>
  <si>
    <t>181)   5"-1500#</t>
  </si>
  <si>
    <t>182)   6"-1500#</t>
  </si>
  <si>
    <t>183)   8"-1500#</t>
  </si>
  <si>
    <t>184)   10"-1500#</t>
  </si>
  <si>
    <t>185)   12"-1500#</t>
  </si>
  <si>
    <t>186)   14"-1500#</t>
  </si>
  <si>
    <t>187)   16"-1500#</t>
  </si>
  <si>
    <t>188)   18"-1500#</t>
  </si>
  <si>
    <t>189)   20"-1500#</t>
  </si>
  <si>
    <t>190)   24"-1500#</t>
  </si>
  <si>
    <t>200)   1/2"-2500#</t>
  </si>
  <si>
    <t>201)   3/4"-2500#</t>
  </si>
  <si>
    <t>202)   1"-2500#</t>
  </si>
  <si>
    <t>203)   1-1/4"-2500#</t>
  </si>
  <si>
    <t>204)   1-1/2"-2500#</t>
  </si>
  <si>
    <t>205)   2"-2500#</t>
  </si>
  <si>
    <t>206)   2-1/2"-2500#</t>
  </si>
  <si>
    <t>207)   3"-2500#</t>
  </si>
  <si>
    <t>208)   4"-2500#</t>
  </si>
  <si>
    <t>209)   5"-2500#</t>
  </si>
  <si>
    <t>210)   6"-2500#</t>
  </si>
  <si>
    <t>211)   8"-2500#</t>
  </si>
  <si>
    <t>212)   10"-2500#</t>
  </si>
  <si>
    <t>213)   12"-2500#</t>
  </si>
  <si>
    <t>System Pressure</t>
  </si>
  <si>
    <t xml:space="preserve"> psig</t>
  </si>
  <si>
    <r>
      <t xml:space="preserve">(The following table is for Standard </t>
    </r>
    <r>
      <rPr>
        <b/>
        <sz val="11"/>
        <rFont val="Arial"/>
        <family val="2"/>
      </rPr>
      <t>Flat Face Flanges</t>
    </r>
    <r>
      <rPr>
        <sz val="11"/>
        <rFont val="Arial"/>
        <family val="2"/>
      </rPr>
      <t xml:space="preserve"> with ASTM 193 B7 bolts and A194 2H nuts)</t>
    </r>
  </si>
  <si>
    <t>57)   1"-125#</t>
  </si>
  <si>
    <t>58)   1-1/4"-125#</t>
  </si>
  <si>
    <t>59)   1-1/2"-125#</t>
  </si>
  <si>
    <t>60)   2"-125#</t>
  </si>
  <si>
    <t>61)   2-1/2"-125#</t>
  </si>
  <si>
    <t>62)   3"-125#</t>
  </si>
  <si>
    <t>63)   3-1/2"-125#</t>
  </si>
  <si>
    <t>64)   4"-125#</t>
  </si>
  <si>
    <t>65)   5"-125#</t>
  </si>
  <si>
    <t>66)   6"-125#</t>
  </si>
  <si>
    <t>67)   8"-125#</t>
  </si>
  <si>
    <t>68)   10"-125#</t>
  </si>
  <si>
    <t>69)   12"-125#</t>
  </si>
  <si>
    <t>70)   14"-125#</t>
  </si>
  <si>
    <t>71)   16"-125#</t>
  </si>
  <si>
    <t>72)   18"-125#</t>
  </si>
  <si>
    <t>73)   20"-125#</t>
  </si>
  <si>
    <t>74)   24"-125#</t>
  </si>
  <si>
    <t>75)   30"-125#</t>
  </si>
  <si>
    <t xml:space="preserve">76)   36"-125# </t>
  </si>
  <si>
    <t xml:space="preserve">77)   42"-125# </t>
  </si>
  <si>
    <t xml:space="preserve">78)   48"-125# </t>
  </si>
  <si>
    <t xml:space="preserve">79)   54"-125# </t>
  </si>
  <si>
    <t xml:space="preserve">80)   60"-125# </t>
  </si>
  <si>
    <t>81)   72"-125#</t>
  </si>
  <si>
    <t>82)   84"-125#</t>
  </si>
  <si>
    <t>83)   96"-125#</t>
  </si>
  <si>
    <t>Gasket Thickness:</t>
  </si>
  <si>
    <t>Gasket Thickness</t>
  </si>
  <si>
    <t xml:space="preserve"> inch</t>
  </si>
  <si>
    <t>Thickness lookup</t>
  </si>
  <si>
    <t>1/8" nominal</t>
  </si>
  <si>
    <t>System Pressure:</t>
  </si>
  <si>
    <t>WARNING: SYSTEM PRESSURE EXCEEDS OUR ELASTOMER RATINGS</t>
  </si>
  <si>
    <t>WARNING:  The minimum recommended stress exceeds the maximum recommended stress. CONSULT APPLICATIONS ENGINEERING.</t>
  </si>
  <si>
    <t>Desired Gasket Stress</t>
  </si>
  <si>
    <t>Bolt and Gasket Specifics</t>
  </si>
  <si>
    <t>WARNING: The bolt stress necessary to achieve the gasket stress you have entered exceeds the yield strength of the bolt.</t>
  </si>
  <si>
    <t>The bolt stress requred is below the yield strength of the grade selected.  Verify the resulting stress is acceptable with your engineering department.</t>
  </si>
  <si>
    <r>
      <t>*</t>
    </r>
    <r>
      <rPr>
        <b/>
        <sz val="14"/>
        <rFont val="Arial"/>
        <family val="2"/>
      </rPr>
      <t xml:space="preserve"> - Required Fields</t>
    </r>
  </si>
  <si>
    <r>
      <t xml:space="preserve">* </t>
    </r>
    <r>
      <rPr>
        <b/>
        <sz val="14"/>
        <rFont val="Arial"/>
        <family val="2"/>
      </rPr>
      <t>Flange Size &amp; Class:</t>
    </r>
  </si>
  <si>
    <r>
      <t>*</t>
    </r>
    <r>
      <rPr>
        <b/>
        <sz val="14"/>
        <rFont val="Arial"/>
        <family val="2"/>
      </rPr>
      <t xml:space="preserve"> Flange Size &amp; Class:</t>
    </r>
  </si>
  <si>
    <r>
      <t>*</t>
    </r>
    <r>
      <rPr>
        <sz val="14"/>
        <rFont val="Arial"/>
        <family val="2"/>
      </rPr>
      <t xml:space="preserve"> Gasket Stress</t>
    </r>
  </si>
  <si>
    <r>
      <t>*</t>
    </r>
    <r>
      <rPr>
        <sz val="14"/>
        <rFont val="Arial"/>
        <family val="2"/>
      </rPr>
      <t xml:space="preserve"> Gasket Area</t>
    </r>
  </si>
  <si>
    <r>
      <t>*</t>
    </r>
    <r>
      <rPr>
        <sz val="14"/>
        <rFont val="Arial"/>
        <family val="2"/>
      </rPr>
      <t xml:space="preserve"> Bolt Size</t>
    </r>
  </si>
  <si>
    <r>
      <t>*</t>
    </r>
    <r>
      <rPr>
        <sz val="14"/>
        <rFont val="Arial"/>
        <family val="2"/>
      </rPr>
      <t xml:space="preserve"> Bolt Grade</t>
    </r>
  </si>
  <si>
    <r>
      <t>*</t>
    </r>
    <r>
      <rPr>
        <sz val="14"/>
        <rFont val="Arial"/>
        <family val="2"/>
      </rPr>
      <t xml:space="preserve"> Bolt Quantity</t>
    </r>
  </si>
  <si>
    <r>
      <t>*</t>
    </r>
    <r>
      <rPr>
        <sz val="14"/>
        <rFont val="Arial"/>
        <family val="2"/>
      </rPr>
      <t xml:space="preserve"> Gasket Contact I.D.</t>
    </r>
  </si>
  <si>
    <r>
      <t>*</t>
    </r>
    <r>
      <rPr>
        <sz val="14"/>
        <rFont val="Arial"/>
        <family val="2"/>
      </rPr>
      <t xml:space="preserve"> Gasket Contact O.D.</t>
    </r>
  </si>
  <si>
    <r>
      <t>*</t>
    </r>
    <r>
      <rPr>
        <sz val="14"/>
        <rFont val="Arial"/>
        <family val="2"/>
      </rPr>
      <t xml:space="preserve"> System Pressure</t>
    </r>
  </si>
  <si>
    <r>
      <t>*</t>
    </r>
    <r>
      <rPr>
        <sz val="14"/>
        <rFont val="Arial"/>
        <family val="2"/>
      </rPr>
      <t xml:space="preserve"> Bolt Stress</t>
    </r>
  </si>
  <si>
    <r>
      <t xml:space="preserve">* </t>
    </r>
    <r>
      <rPr>
        <sz val="14"/>
        <rFont val="Arial"/>
        <family val="2"/>
      </rPr>
      <t>Gasket Thickness</t>
    </r>
  </si>
  <si>
    <r>
      <t>*</t>
    </r>
    <r>
      <rPr>
        <sz val="14"/>
        <rFont val="Arial"/>
        <family val="2"/>
      </rPr>
      <t xml:space="preserve"> Gasket Thickness</t>
    </r>
  </si>
  <si>
    <r>
      <t>*</t>
    </r>
    <r>
      <rPr>
        <sz val="14"/>
        <rFont val="Arial"/>
        <family val="2"/>
      </rPr>
      <t xml:space="preserve"> Bolt Circle (req'd)</t>
    </r>
  </si>
  <si>
    <r>
      <t>*</t>
    </r>
    <r>
      <rPr>
        <sz val="14"/>
        <rFont val="Arial"/>
        <family val="2"/>
      </rPr>
      <t xml:space="preserve"> Bolt Hole Diameter</t>
    </r>
  </si>
  <si>
    <r>
      <t>*</t>
    </r>
    <r>
      <rPr>
        <sz val="14"/>
        <rFont val="Arial"/>
        <family val="2"/>
      </rPr>
      <t xml:space="preserve"> Gasket Outer Length</t>
    </r>
  </si>
  <si>
    <r>
      <t>*</t>
    </r>
    <r>
      <rPr>
        <sz val="14"/>
        <rFont val="Arial"/>
        <family val="2"/>
      </rPr>
      <t xml:space="preserve"> Gasket Outer Width</t>
    </r>
  </si>
  <si>
    <r>
      <t>*</t>
    </r>
    <r>
      <rPr>
        <sz val="14"/>
        <rFont val="Arial"/>
        <family val="2"/>
      </rPr>
      <t xml:space="preserve"> Gasket Inner Length</t>
    </r>
  </si>
  <si>
    <r>
      <t>*</t>
    </r>
    <r>
      <rPr>
        <sz val="14"/>
        <rFont val="Arial"/>
        <family val="2"/>
      </rPr>
      <t xml:space="preserve"> Gasket Inner Width</t>
    </r>
  </si>
  <si>
    <t>INTERNAL</t>
  </si>
  <si>
    <t>EXTERNAL</t>
  </si>
  <si>
    <t>Bolt Hole Ctr. (Length)</t>
  </si>
  <si>
    <t>Bolt Hole Ctr. (Width)</t>
  </si>
  <si>
    <r>
      <t>Resulting Stress</t>
    </r>
    <r>
      <rPr>
        <sz val="8"/>
        <rFont val="Arial"/>
        <family val="2"/>
      </rPr>
      <t xml:space="preserve"> (Internal Manways)</t>
    </r>
  </si>
  <si>
    <t>Minimum:</t>
  </si>
  <si>
    <t>Maximum (Preferred):</t>
  </si>
  <si>
    <t>Qty</t>
  </si>
  <si>
    <t>size</t>
  </si>
  <si>
    <t>SHT MIN</t>
  </si>
  <si>
    <t>SHT MAX</t>
  </si>
  <si>
    <t>G-L MAX</t>
  </si>
  <si>
    <t>SWG MIN</t>
  </si>
  <si>
    <t>CMG MIN</t>
  </si>
  <si>
    <t>CMG MAX</t>
  </si>
  <si>
    <t>KAMM MIN</t>
  </si>
  <si>
    <t>KAMM MAX</t>
  </si>
  <si>
    <t>SWG MAX</t>
  </si>
  <si>
    <t>QTY</t>
  </si>
  <si>
    <t>SIZE</t>
  </si>
  <si>
    <t>MAX RBR &gt;70</t>
  </si>
  <si>
    <t>MAX RBR &lt;70</t>
  </si>
  <si>
    <t>MIN RBR &gt;70</t>
  </si>
  <si>
    <t>MIN RBR &lt;70</t>
  </si>
  <si>
    <t>Kammprofile Gaskets</t>
  </si>
  <si>
    <t>Elastomeric Gaskets - LESS THAN 70 durometer Shore A</t>
  </si>
  <si>
    <t>CORE DATA UNSORTED
 DO NOT SORT</t>
  </si>
  <si>
    <t>HYDROSTATIC END FORCE</t>
  </si>
  <si>
    <t>1/16 or 1/8</t>
  </si>
  <si>
    <t>MIN</t>
  </si>
  <si>
    <t>MIN STRESS</t>
  </si>
  <si>
    <t>KAMM</t>
  </si>
  <si>
    <t>w/ HYDRO</t>
  </si>
  <si>
    <t>&lt;70 MIN</t>
  </si>
  <si>
    <t>DISPLAY</t>
  </si>
  <si>
    <t>&gt;70 MIN</t>
  </si>
  <si>
    <t>Resources:</t>
  </si>
  <si>
    <t>The torque &amp; bolt stress are less than or equal to 75% of the bolt yield strength</t>
  </si>
  <si>
    <t>Minimum</t>
  </si>
  <si>
    <t>Gasket Stress:</t>
  </si>
  <si>
    <t>Torque per Bolt:</t>
  </si>
  <si>
    <t>Bolt Stress:</t>
  </si>
  <si>
    <t>Maximum</t>
  </si>
  <si>
    <t>% of YIELD AT MIN</t>
  </si>
  <si>
    <t>% of YIELD AT MAX</t>
  </si>
  <si>
    <t>Fastener Notes:</t>
  </si>
  <si>
    <t>CAUTION! The torque &amp; bolt stress are between 76% to 90% of the bolt yield strength</t>
  </si>
  <si>
    <t>CAUTION! The torque &amp; bolt stress are more than 90% of the bolt yield strength.</t>
  </si>
  <si>
    <t>WARNING! The torque &amp; bolt stress are EQUAL TO or EXCEED the bolt yield strength.</t>
  </si>
  <si>
    <r>
      <t xml:space="preserve"> psi</t>
    </r>
    <r>
      <rPr>
        <sz val="12"/>
        <rFont val="Arial"/>
        <family val="2"/>
      </rPr>
      <t xml:space="preserve"> </t>
    </r>
    <r>
      <rPr>
        <b/>
        <sz val="12"/>
        <color indexed="12"/>
        <rFont val="Arial"/>
        <family val="2"/>
      </rPr>
      <t xml:space="preserve"> (See Tables below for min and max recommended stresses)</t>
    </r>
  </si>
  <si>
    <t>(NOTE: Rubber gaskets are not preferred choices for RAISED FACE FLANGES.)</t>
  </si>
  <si>
    <r>
      <t>NOTE</t>
    </r>
    <r>
      <rPr>
        <sz val="14"/>
        <rFont val="Arial"/>
        <family val="2"/>
      </rPr>
      <t>:  The torque values and bolt stresses expressed in the tables below are calculated values based on the gasketing material type shown.  "Fastener notes" to the right should be reviewed before using the calculated torque values.</t>
    </r>
  </si>
  <si>
    <t>Table 2 - MULTI-SWELL™ 3760 &amp; 3760-U</t>
  </si>
  <si>
    <t>Table 5 - KAMMPROFILE Gaskets</t>
  </si>
  <si>
    <t>Table 6 - FLEXSEAL® Spiral Wound Gaskets</t>
  </si>
  <si>
    <t>Table 7 - Rubber Gaskets (&lt;70 durometer Shore A)</t>
  </si>
  <si>
    <t>Table 8 - Rubber Gaskets (≥70 durometer Shore A)</t>
  </si>
  <si>
    <r>
      <t xml:space="preserve">Elastomeric Gaskets - 70 durometer Shore A AND HIGHER
</t>
    </r>
    <r>
      <rPr>
        <b/>
        <sz val="14"/>
        <color theme="0"/>
        <rFont val="Arial"/>
        <family val="2"/>
      </rPr>
      <t>(Including STRESS SAVER Gaskets)</t>
    </r>
  </si>
  <si>
    <t>WARNING: Garlock does NOT recommend exceeding the flange manufacturer's maximum recommended torque specifically with non-metallic flanges.</t>
  </si>
  <si>
    <t>(For non-standard flanges please refer to the appropriate tab above.  For FLAT FACE Flanges see next section below)</t>
  </si>
  <si>
    <r>
      <t xml:space="preserve">ASME Raised Face Flange </t>
    </r>
    <r>
      <rPr>
        <i/>
        <sz val="18"/>
        <color theme="1"/>
        <rFont val="Impact"/>
        <family val="2"/>
      </rPr>
      <t xml:space="preserve">Quick Torque </t>
    </r>
    <r>
      <rPr>
        <b/>
        <sz val="18"/>
        <color theme="1"/>
        <rFont val="Arial"/>
        <family val="2"/>
      </rPr>
      <t xml:space="preserve"> Reference</t>
    </r>
  </si>
  <si>
    <r>
      <t xml:space="preserve">ASME Flat Face Flange </t>
    </r>
    <r>
      <rPr>
        <i/>
        <sz val="18"/>
        <color theme="1"/>
        <rFont val="Impact"/>
        <family val="2"/>
      </rPr>
      <t xml:space="preserve">Quick Torque </t>
    </r>
    <r>
      <rPr>
        <b/>
        <sz val="18"/>
        <color theme="1"/>
        <rFont val="Arial"/>
        <family val="2"/>
      </rPr>
      <t xml:space="preserve"> Reference</t>
    </r>
  </si>
  <si>
    <r>
      <t xml:space="preserve">G.S.T. </t>
    </r>
    <r>
      <rPr>
        <b/>
        <sz val="18"/>
        <rFont val="Arial"/>
        <family val="2"/>
      </rPr>
      <t>(</t>
    </r>
    <r>
      <rPr>
        <b/>
        <sz val="18"/>
        <rFont val="Arial Black"/>
        <family val="2"/>
      </rPr>
      <t>G</t>
    </r>
    <r>
      <rPr>
        <b/>
        <sz val="18"/>
        <rFont val="Arial"/>
        <family val="2"/>
      </rPr>
      <t xml:space="preserve">asket </t>
    </r>
    <r>
      <rPr>
        <sz val="18"/>
        <rFont val="Arial Black"/>
        <family val="2"/>
      </rPr>
      <t>S</t>
    </r>
    <r>
      <rPr>
        <b/>
        <sz val="18"/>
        <rFont val="Arial"/>
        <family val="2"/>
      </rPr>
      <t>tress to</t>
    </r>
    <r>
      <rPr>
        <i/>
        <sz val="18"/>
        <rFont val="Impact"/>
        <family val="2"/>
      </rPr>
      <t xml:space="preserve"> </t>
    </r>
    <r>
      <rPr>
        <b/>
        <sz val="18"/>
        <rFont val="Arial Black"/>
        <family val="2"/>
      </rPr>
      <t>T</t>
    </r>
    <r>
      <rPr>
        <b/>
        <sz val="18"/>
        <rFont val="Arial"/>
        <family val="2"/>
      </rPr>
      <t>orque) Calculator</t>
    </r>
  </si>
  <si>
    <t>% of Yield</t>
  </si>
  <si>
    <r>
      <t>*</t>
    </r>
    <r>
      <rPr>
        <sz val="14"/>
        <rFont val="Arial"/>
        <family val="2"/>
      </rPr>
      <t xml:space="preserve"> - Required Fields</t>
    </r>
  </si>
  <si>
    <t>Please use the RING GASKET calculator and the winding dimensions.  This applies to all spiral wound gaskets, including gaskets with full face (bolt holes) outer rings.</t>
  </si>
  <si>
    <r>
      <t xml:space="preserve">NOTE: If the gasket </t>
    </r>
    <r>
      <rPr>
        <b/>
        <sz val="12"/>
        <rFont val="Arial"/>
        <family val="2"/>
      </rPr>
      <t xml:space="preserve">does not </t>
    </r>
    <r>
      <rPr>
        <sz val="12"/>
        <rFont val="Arial"/>
        <family val="2"/>
      </rPr>
      <t>contain bolt holes leave the "Bolt Hole Ctr" and "Bolt Hole Diameter" fields BLANK, and disregard the TRUE/FALSE boxes.</t>
    </r>
  </si>
  <si>
    <t>Obround Gasket</t>
  </si>
  <si>
    <t>Typically spiral wound gaskets are made in round or elliptical shapes.  Please consult Applications Engineering for assistance in selecting a suitable product.</t>
  </si>
  <si>
    <t>Elliptical Gasket</t>
  </si>
  <si>
    <r>
      <t>*</t>
    </r>
    <r>
      <rPr>
        <sz val="14"/>
        <rFont val="Arial"/>
        <family val="2"/>
      </rPr>
      <t xml:space="preserve"> Flange Type</t>
    </r>
  </si>
  <si>
    <t>INT MNWY AREA</t>
  </si>
  <si>
    <t>SELECT ONE</t>
  </si>
  <si>
    <t>Bolt Reference Table</t>
  </si>
  <si>
    <t>NOTE: IF THE BOLT HOLES ARE NOT LOCATED IN THE FACED AREA OF THE GASKET USE THE RING GASKET CALCULATOR</t>
  </si>
  <si>
    <t>Please choose from the list of sizes and classes provided</t>
  </si>
  <si>
    <t>BH vs Cross</t>
  </si>
  <si>
    <t>BH vs Bolt</t>
  </si>
  <si>
    <t xml:space="preserve"> of bolt yield strength</t>
  </si>
  <si>
    <r>
      <t xml:space="preserve"> psi</t>
    </r>
    <r>
      <rPr>
        <sz val="12"/>
        <rFont val="Arial"/>
        <family val="2"/>
      </rPr>
      <t xml:space="preserve"> </t>
    </r>
    <r>
      <rPr>
        <b/>
        <sz val="12"/>
        <color indexed="12"/>
        <rFont val="Arial"/>
        <family val="2"/>
      </rPr>
      <t xml:space="preserve"> (See Tables below for minimum and maximum stresses)</t>
    </r>
  </si>
  <si>
    <t xml:space="preserve"> default k-factor</t>
  </si>
  <si>
    <t>k-factor</t>
  </si>
  <si>
    <t>k-factor:</t>
  </si>
  <si>
    <t>custom k-factor:</t>
  </si>
  <si>
    <t>(leave blank to use default value above)</t>
  </si>
  <si>
    <t>% of Bolt Yield Strength:</t>
  </si>
  <si>
    <t xml:space="preserve"> (EPIX) 3/32</t>
  </si>
  <si>
    <t>(EPIX) 3/32</t>
  </si>
  <si>
    <r>
      <t xml:space="preserve">Table 3 - GRAPH-LOCK® </t>
    </r>
    <r>
      <rPr>
        <b/>
        <sz val="12"/>
        <color theme="0"/>
        <rFont val="Arial"/>
        <family val="2"/>
      </rPr>
      <t>(except HOCHDRUCK® 3128 &amp; 3125TC)</t>
    </r>
  </si>
  <si>
    <r>
      <t xml:space="preserve">GRAPH-LOCK® </t>
    </r>
    <r>
      <rPr>
        <b/>
        <sz val="12"/>
        <color theme="0"/>
        <rFont val="Arial"/>
        <family val="2"/>
      </rPr>
      <t xml:space="preserve">(except 3128 &amp; 3125TC) </t>
    </r>
    <r>
      <rPr>
        <b/>
        <sz val="16"/>
        <color theme="0"/>
        <rFont val="Arial"/>
        <family val="2"/>
      </rPr>
      <t>and 
MULTI-SWELL™ 3760 &amp; 3760-U Ring Gaskets</t>
    </r>
  </si>
  <si>
    <r>
      <t>Table 4 - CMG Gaskets</t>
    </r>
    <r>
      <rPr>
        <b/>
        <sz val="12"/>
        <color theme="0"/>
        <rFont val="Arial"/>
        <family val="2"/>
      </rPr>
      <t xml:space="preserve"> (GRAPHONIC®, TEPHONIC®, GET®, THERPHONIC®)</t>
    </r>
  </si>
  <si>
    <t>Table 1 - Compressed Sheet, GYLON®, GYLON EPIX™ 
HOCHDRUCK® 3128 &amp; GRAPH-LOCK® 3125TC</t>
  </si>
  <si>
    <t>Table 1 - Compressed Sheet, GYLON®, GYLON EPIX™ HOCHDRUCK® 3128, &amp; GRAPH-LOCK® 3125TC</t>
  </si>
  <si>
    <t xml:space="preserve">Table 1 - Compressed Sheet, GYLON®, GYLON EPIX™
 HOCHDRUCK® 3128 &amp; GRAPH-LOCK® 3125TC </t>
  </si>
  <si>
    <t>Table 1 - Compressed Sheet, GYLON®, GYLON EPIX™
HOCHDRUCK® 3128 &amp; GRAPH-LOCK® 3125TC</t>
  </si>
  <si>
    <t>Compressed Sheet, GYLON®, GYLON EPIX™, 
HOCHDRUCK® 3128 &amp; GRAPH-LOCK® 3125TC Ring Gaskets</t>
  </si>
  <si>
    <t>CMG - Corrugated Metal Gaskets 
(GRAPHONIC®, TEPHONIC®, GET®, &amp; THERPHONIC®)</t>
  </si>
  <si>
    <r>
      <t xml:space="preserve">custom k-factor </t>
    </r>
    <r>
      <rPr>
        <sz val="10"/>
        <rFont val="Arial"/>
        <family val="2"/>
      </rPr>
      <t>(leave blank to use default k-factor)</t>
    </r>
  </si>
  <si>
    <t>NOTE:  Values below are based on using a moly-type thread lubricant.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</si>
</sst>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0.000"/>
    <numFmt numFmtId="165" formatCode="_(* #,##0_);_(* \(#,##0\);_(* &quot;-&quot;??_);_(@_)"/>
    <numFmt numFmtId="166" formatCode="#\ ???/???"/>
    <numFmt numFmtId="167" formatCode="#,##0.000"/>
  </numFmts>
  <fonts count="69" x14ac:knownFonts="1">
    <font>
      <sz val="10"/>
      <name val="Arial"/>
    </font>
    <font>
      <sz val="14"/>
      <name val="Arial"/>
      <family val="2"/>
    </font>
    <font>
      <sz val="12"/>
      <name val="Arial"/>
      <family val="2"/>
    </font>
    <font>
      <b/>
      <u/>
      <sz val="18"/>
      <name val="Arial"/>
      <family val="2"/>
    </font>
    <font>
      <b/>
      <sz val="16"/>
      <name val="Arial"/>
      <family val="2"/>
    </font>
    <font>
      <sz val="12"/>
      <color indexed="8"/>
      <name val="Arial"/>
      <family val="2"/>
    </font>
    <font>
      <b/>
      <sz val="14"/>
      <color indexed="8"/>
      <name val="Arial"/>
      <family val="2"/>
    </font>
    <font>
      <b/>
      <sz val="12"/>
      <color indexed="8"/>
      <name val="Arial"/>
      <family val="2"/>
    </font>
    <font>
      <sz val="14"/>
      <name val="Arial"/>
      <family val="2"/>
    </font>
    <font>
      <sz val="14"/>
      <color indexed="8"/>
      <name val="Arial"/>
      <family val="2"/>
    </font>
    <font>
      <b/>
      <sz val="14"/>
      <name val="Arial"/>
      <family val="2"/>
    </font>
    <font>
      <b/>
      <sz val="14"/>
      <color indexed="9"/>
      <name val="Arial"/>
      <family val="2"/>
    </font>
    <font>
      <b/>
      <sz val="14"/>
      <color indexed="9"/>
      <name val="Arial"/>
      <family val="2"/>
    </font>
    <font>
      <b/>
      <sz val="16"/>
      <name val="Arial"/>
      <family val="2"/>
    </font>
    <font>
      <sz val="12"/>
      <name val="Arial"/>
      <family val="2"/>
    </font>
    <font>
      <b/>
      <sz val="10"/>
      <name val="Arial"/>
      <family val="2"/>
    </font>
    <font>
      <sz val="18"/>
      <name val="Arial"/>
      <family val="2"/>
    </font>
    <font>
      <b/>
      <sz val="12"/>
      <name val="Arial"/>
      <family val="2"/>
    </font>
    <font>
      <sz val="11"/>
      <name val="Arial"/>
      <family val="2"/>
    </font>
    <font>
      <b/>
      <sz val="11"/>
      <name val="Arial"/>
      <family val="2"/>
    </font>
    <font>
      <sz val="14"/>
      <color indexed="9"/>
      <name val="Arial"/>
      <family val="2"/>
    </font>
    <font>
      <sz val="10"/>
      <color indexed="9"/>
      <name val="Arial"/>
      <family val="2"/>
    </font>
    <font>
      <b/>
      <sz val="14"/>
      <color indexed="12"/>
      <name val="Arial"/>
      <family val="2"/>
    </font>
    <font>
      <b/>
      <sz val="14"/>
      <color indexed="10"/>
      <name val="Arial"/>
      <family val="2"/>
    </font>
    <font>
      <b/>
      <sz val="18"/>
      <color indexed="10"/>
      <name val="Arial"/>
      <family val="2"/>
    </font>
    <font>
      <sz val="14"/>
      <color indexed="10"/>
      <name val="Arial"/>
      <family val="2"/>
    </font>
    <font>
      <u/>
      <sz val="7.5"/>
      <color indexed="12"/>
      <name val="Arial"/>
      <family val="2"/>
    </font>
    <font>
      <u/>
      <sz val="11"/>
      <color indexed="12"/>
      <name val="Arial"/>
      <family val="2"/>
    </font>
    <font>
      <sz val="16"/>
      <name val="Arial"/>
      <family val="2"/>
    </font>
    <font>
      <u/>
      <sz val="14"/>
      <color indexed="12"/>
      <name val="Arial"/>
      <family val="2"/>
    </font>
    <font>
      <sz val="10"/>
      <name val="Arial"/>
      <family val="2"/>
    </font>
    <font>
      <b/>
      <sz val="10"/>
      <color indexed="10"/>
      <name val="Arial"/>
      <family val="2"/>
    </font>
    <font>
      <b/>
      <sz val="11"/>
      <color indexed="10"/>
      <name val="Arial"/>
      <family val="2"/>
    </font>
    <font>
      <sz val="10"/>
      <color indexed="34"/>
      <name val="Arial"/>
      <family val="2"/>
    </font>
    <font>
      <i/>
      <sz val="16"/>
      <name val="Impact"/>
      <family val="2"/>
    </font>
    <font>
      <b/>
      <u/>
      <sz val="12"/>
      <color indexed="12"/>
      <name val="Arial"/>
      <family val="2"/>
    </font>
    <font>
      <b/>
      <u/>
      <sz val="12"/>
      <color indexed="10"/>
      <name val="Arial"/>
      <family val="2"/>
    </font>
    <font>
      <b/>
      <sz val="12"/>
      <color indexed="12"/>
      <name val="Arial"/>
      <family val="2"/>
    </font>
    <font>
      <b/>
      <u/>
      <sz val="14"/>
      <color indexed="12"/>
      <name val="Arial"/>
      <family val="2"/>
    </font>
    <font>
      <i/>
      <sz val="20"/>
      <color indexed="62"/>
      <name val="Impact"/>
      <family val="2"/>
    </font>
    <font>
      <b/>
      <sz val="12"/>
      <color indexed="81"/>
      <name val="Tahoma"/>
      <family val="2"/>
    </font>
    <font>
      <sz val="10"/>
      <color indexed="10"/>
      <name val="Arial"/>
      <family val="2"/>
    </font>
    <font>
      <sz val="8"/>
      <name val="Arial"/>
      <family val="2"/>
    </font>
    <font>
      <b/>
      <sz val="10"/>
      <color indexed="12"/>
      <name val="Arial"/>
      <family val="2"/>
    </font>
    <font>
      <sz val="12"/>
      <color indexed="12"/>
      <name val="Arial"/>
      <family val="2"/>
    </font>
    <font>
      <b/>
      <sz val="18"/>
      <name val="Arial"/>
      <family val="2"/>
    </font>
    <font>
      <sz val="10"/>
      <name val="Arial"/>
      <family val="2"/>
    </font>
    <font>
      <b/>
      <sz val="12"/>
      <color rgb="FFFF0000"/>
      <name val="Arial"/>
      <family val="2"/>
    </font>
    <font>
      <b/>
      <u/>
      <sz val="14"/>
      <name val="Arial"/>
      <family val="2"/>
    </font>
    <font>
      <b/>
      <u/>
      <sz val="12"/>
      <name val="Arial"/>
      <family val="2"/>
    </font>
    <font>
      <b/>
      <sz val="16"/>
      <color theme="0"/>
      <name val="Arial"/>
      <family val="2"/>
    </font>
    <font>
      <b/>
      <sz val="11"/>
      <color theme="0"/>
      <name val="Arial"/>
      <family val="2"/>
    </font>
    <font>
      <b/>
      <sz val="12"/>
      <color theme="0"/>
      <name val="Arial"/>
      <family val="2"/>
    </font>
    <font>
      <b/>
      <sz val="14"/>
      <color theme="0"/>
      <name val="Arial"/>
      <family val="2"/>
    </font>
    <font>
      <b/>
      <sz val="18"/>
      <color theme="1"/>
      <name val="Arial"/>
      <family val="2"/>
    </font>
    <font>
      <i/>
      <sz val="18"/>
      <color theme="1"/>
      <name val="Impact"/>
      <family val="2"/>
    </font>
    <font>
      <i/>
      <sz val="18"/>
      <name val="Impact"/>
      <family val="2"/>
    </font>
    <font>
      <b/>
      <sz val="18"/>
      <name val="Arial Black"/>
      <family val="2"/>
    </font>
    <font>
      <sz val="18"/>
      <name val="Arial Black"/>
      <family val="2"/>
    </font>
    <font>
      <b/>
      <u/>
      <sz val="18"/>
      <color theme="1"/>
      <name val="Arial"/>
      <family val="2"/>
    </font>
    <font>
      <b/>
      <sz val="14"/>
      <color rgb="FFFF0000"/>
      <name val="Arial"/>
      <family val="2"/>
    </font>
    <font>
      <b/>
      <sz val="14"/>
      <color theme="1"/>
      <name val="Arial"/>
      <family val="2"/>
    </font>
    <font>
      <b/>
      <sz val="9"/>
      <color indexed="81"/>
      <name val="Tahoma"/>
      <family val="2"/>
    </font>
    <font>
      <sz val="14"/>
      <color theme="1"/>
      <name val="Arial"/>
      <family val="2"/>
    </font>
    <font>
      <b/>
      <sz val="8"/>
      <color theme="0"/>
      <name val="Arial"/>
      <family val="2"/>
    </font>
    <font>
      <sz val="14"/>
      <color theme="0" tint="-0.499984740745262"/>
      <name val="Arial"/>
      <family val="2"/>
    </font>
    <font>
      <sz val="12"/>
      <color theme="0" tint="-0.499984740745262"/>
      <name val="Arial"/>
      <family val="2"/>
    </font>
    <font>
      <sz val="10"/>
      <color theme="0" tint="-0.499984740745262"/>
      <name val="Arial"/>
      <family val="2"/>
    </font>
    <font>
      <sz val="9"/>
      <color indexed="81"/>
      <name val="Tahoma"/>
      <charset val="1"/>
    </font>
  </fonts>
  <fills count="11">
    <fill>
      <patternFill patternType="none"/>
    </fill>
    <fill>
      <patternFill patternType="gray125"/>
    </fill>
    <fill>
      <patternFill patternType="solid">
        <fgColor indexed="9"/>
        <bgColor indexed="64"/>
      </patternFill>
    </fill>
    <fill>
      <patternFill patternType="solid">
        <fgColor indexed="12"/>
        <bgColor indexed="64"/>
      </patternFill>
    </fill>
    <fill>
      <patternFill patternType="solid">
        <fgColor indexed="31"/>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theme="0" tint="-0.14999847407452621"/>
        <bgColor indexed="64"/>
      </patternFill>
    </fill>
    <fill>
      <patternFill patternType="solid">
        <fgColor rgb="FF132863"/>
        <bgColor indexed="64"/>
      </patternFill>
    </fill>
    <fill>
      <patternFill patternType="solid">
        <fgColor theme="0" tint="-0.249977111117893"/>
        <bgColor indexed="64"/>
      </patternFill>
    </fill>
  </fills>
  <borders count="30">
    <border>
      <left/>
      <right/>
      <top/>
      <bottom/>
      <diagonal/>
    </border>
    <border>
      <left style="double">
        <color indexed="64"/>
      </left>
      <right/>
      <top/>
      <bottom/>
      <diagonal/>
    </border>
    <border>
      <left/>
      <right/>
      <top/>
      <bottom style="double">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double">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top/>
      <bottom/>
      <diagonal/>
    </border>
    <border>
      <left/>
      <right/>
      <top style="medium">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2">
    <xf numFmtId="0" fontId="0" fillId="0" borderId="0"/>
    <xf numFmtId="43" fontId="1" fillId="0" borderId="0" applyFont="0" applyFill="0" applyBorder="0" applyAlignment="0" applyProtection="0"/>
    <xf numFmtId="0" fontId="26" fillId="0" borderId="0" applyNumberFormat="0" applyFill="0" applyBorder="0" applyAlignment="0" applyProtection="0">
      <alignment vertical="top"/>
      <protection locked="0"/>
    </xf>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2" fontId="46" fillId="0" borderId="0"/>
    <xf numFmtId="9" fontId="46" fillId="0" borderId="0" applyFont="0" applyFill="0" applyBorder="0" applyAlignment="0" applyProtection="0"/>
  </cellStyleXfs>
  <cellXfs count="496">
    <xf numFmtId="0" fontId="0" fillId="0" borderId="0" xfId="0"/>
    <xf numFmtId="0" fontId="0" fillId="2" borderId="1" xfId="0" applyFill="1" applyBorder="1" applyProtection="1">
      <protection hidden="1"/>
    </xf>
    <xf numFmtId="0" fontId="0" fillId="2" borderId="0" xfId="0" applyFill="1" applyBorder="1" applyProtection="1">
      <protection hidden="1"/>
    </xf>
    <xf numFmtId="0" fontId="0" fillId="2" borderId="2" xfId="0" applyFill="1" applyBorder="1" applyProtection="1">
      <protection hidden="1"/>
    </xf>
    <xf numFmtId="166" fontId="0" fillId="0" borderId="0" xfId="0" applyNumberFormat="1"/>
    <xf numFmtId="165" fontId="0" fillId="0" borderId="0" xfId="1" applyNumberFormat="1" applyFont="1"/>
    <xf numFmtId="0" fontId="16" fillId="2" borderId="0" xfId="0" applyFont="1" applyFill="1" applyProtection="1">
      <protection hidden="1"/>
    </xf>
    <xf numFmtId="0" fontId="0" fillId="2" borderId="0" xfId="0" applyFill="1" applyProtection="1">
      <protection hidden="1"/>
    </xf>
    <xf numFmtId="0" fontId="14" fillId="2" borderId="0" xfId="0" applyNumberFormat="1" applyFont="1" applyFill="1" applyBorder="1" applyAlignment="1" applyProtection="1">
      <alignment horizontal="centerContinuous" vertical="top"/>
      <protection hidden="1"/>
    </xf>
    <xf numFmtId="0" fontId="14" fillId="2" borderId="0" xfId="0" applyNumberFormat="1" applyFont="1" applyFill="1" applyBorder="1" applyAlignment="1" applyProtection="1">
      <alignment horizontal="centerContinuous" vertical="top" wrapText="1"/>
      <protection hidden="1"/>
    </xf>
    <xf numFmtId="0" fontId="4" fillId="2" borderId="0" xfId="0" applyNumberFormat="1" applyFont="1" applyFill="1" applyBorder="1" applyAlignment="1" applyProtection="1">
      <alignment horizontal="right" vertical="top"/>
      <protection hidden="1"/>
    </xf>
    <xf numFmtId="0" fontId="2" fillId="2" borderId="0" xfId="0" applyNumberFormat="1" applyFont="1" applyFill="1" applyBorder="1" applyAlignment="1" applyProtection="1">
      <alignment vertical="top"/>
      <protection hidden="1"/>
    </xf>
    <xf numFmtId="165" fontId="14" fillId="2" borderId="0" xfId="1" applyNumberFormat="1" applyFont="1" applyFill="1" applyAlignment="1" applyProtection="1">
      <alignment horizontal="center"/>
      <protection hidden="1"/>
    </xf>
    <xf numFmtId="0" fontId="8" fillId="2" borderId="0" xfId="0" applyNumberFormat="1" applyFont="1" applyFill="1" applyBorder="1" applyAlignment="1" applyProtection="1">
      <alignment vertical="top"/>
      <protection hidden="1"/>
    </xf>
    <xf numFmtId="0" fontId="8" fillId="2" borderId="0" xfId="0" applyFont="1" applyFill="1" applyBorder="1" applyProtection="1">
      <protection hidden="1"/>
    </xf>
    <xf numFmtId="0" fontId="8" fillId="2" borderId="0" xfId="0" applyNumberFormat="1" applyFont="1" applyFill="1" applyBorder="1" applyAlignment="1" applyProtection="1">
      <alignment horizontal="right" vertical="top"/>
      <protection hidden="1"/>
    </xf>
    <xf numFmtId="0" fontId="12" fillId="2" borderId="0" xfId="0" applyNumberFormat="1" applyFont="1" applyFill="1" applyBorder="1" applyAlignment="1" applyProtection="1">
      <alignment vertical="top"/>
      <protection hidden="1"/>
    </xf>
    <xf numFmtId="0" fontId="8" fillId="2" borderId="0" xfId="0" applyFont="1" applyFill="1" applyBorder="1" applyAlignment="1" applyProtection="1">
      <alignment horizontal="right"/>
      <protection hidden="1"/>
    </xf>
    <xf numFmtId="0" fontId="0" fillId="2" borderId="0" xfId="0" applyFill="1" applyBorder="1" applyAlignment="1" applyProtection="1">
      <alignment horizontal="right"/>
      <protection hidden="1"/>
    </xf>
    <xf numFmtId="0" fontId="9" fillId="2" borderId="0" xfId="0" applyNumberFormat="1" applyFont="1" applyFill="1" applyBorder="1" applyAlignment="1" applyProtection="1">
      <alignment vertical="top"/>
      <protection hidden="1"/>
    </xf>
    <xf numFmtId="0" fontId="10" fillId="2" borderId="0" xfId="0" applyNumberFormat="1" applyFont="1" applyFill="1" applyBorder="1" applyAlignment="1" applyProtection="1">
      <alignment horizontal="right" vertical="top"/>
      <protection hidden="1"/>
    </xf>
    <xf numFmtId="0" fontId="13" fillId="2" borderId="0" xfId="0" applyFont="1" applyFill="1" applyBorder="1" applyAlignment="1" applyProtection="1">
      <alignment horizontal="right"/>
      <protection hidden="1"/>
    </xf>
    <xf numFmtId="0" fontId="13" fillId="2" borderId="0" xfId="0" applyNumberFormat="1" applyFont="1" applyFill="1" applyBorder="1" applyAlignment="1" applyProtection="1">
      <alignment horizontal="right" vertical="top"/>
      <protection hidden="1"/>
    </xf>
    <xf numFmtId="0" fontId="8" fillId="2" borderId="0" xfId="0" applyNumberFormat="1" applyFont="1" applyFill="1" applyBorder="1" applyAlignment="1" applyProtection="1">
      <alignment horizontal="left" vertical="top"/>
      <protection hidden="1"/>
    </xf>
    <xf numFmtId="0" fontId="10" fillId="2" borderId="0" xfId="0" applyFont="1" applyFill="1" applyBorder="1" applyAlignment="1" applyProtection="1">
      <alignment horizontal="right"/>
      <protection hidden="1"/>
    </xf>
    <xf numFmtId="0" fontId="10" fillId="2" borderId="0" xfId="0" applyFont="1" applyFill="1" applyBorder="1" applyProtection="1">
      <protection hidden="1"/>
    </xf>
    <xf numFmtId="1" fontId="2" fillId="2" borderId="0" xfId="0" applyNumberFormat="1" applyFont="1" applyFill="1" applyBorder="1" applyAlignment="1" applyProtection="1">
      <alignment horizontal="center" vertical="top"/>
      <protection hidden="1"/>
    </xf>
    <xf numFmtId="0" fontId="17" fillId="2" borderId="0" xfId="0" applyNumberFormat="1" applyFont="1" applyFill="1" applyBorder="1" applyAlignment="1" applyProtection="1">
      <alignment horizontal="centerContinuous" vertical="top"/>
      <protection hidden="1"/>
    </xf>
    <xf numFmtId="166" fontId="0" fillId="2" borderId="0" xfId="0" applyNumberFormat="1" applyFill="1" applyAlignment="1" applyProtection="1">
      <alignment horizontal="left"/>
      <protection hidden="1"/>
    </xf>
    <xf numFmtId="0" fontId="14" fillId="2" borderId="0" xfId="0" applyNumberFormat="1" applyFont="1" applyFill="1" applyBorder="1" applyAlignment="1" applyProtection="1">
      <alignment vertical="top"/>
      <protection hidden="1"/>
    </xf>
    <xf numFmtId="0" fontId="10" fillId="2" borderId="0" xfId="0" applyNumberFormat="1" applyFont="1" applyFill="1" applyBorder="1" applyAlignment="1" applyProtection="1">
      <alignment vertical="top"/>
      <protection hidden="1"/>
    </xf>
    <xf numFmtId="2" fontId="9" fillId="2" borderId="0" xfId="0" applyNumberFormat="1" applyFont="1" applyFill="1" applyBorder="1" applyAlignment="1" applyProtection="1">
      <alignment vertical="top"/>
      <protection hidden="1"/>
    </xf>
    <xf numFmtId="0" fontId="14" fillId="2" borderId="0" xfId="0" applyNumberFormat="1" applyFont="1" applyFill="1" applyBorder="1" applyAlignment="1" applyProtection="1">
      <alignment vertical="top" wrapText="1"/>
      <protection hidden="1"/>
    </xf>
    <xf numFmtId="0" fontId="12" fillId="2" borderId="0" xfId="0" applyFont="1" applyFill="1" applyBorder="1" applyProtection="1">
      <protection hidden="1"/>
    </xf>
    <xf numFmtId="164" fontId="2" fillId="2" borderId="9" xfId="0" applyNumberFormat="1" applyFont="1" applyFill="1" applyBorder="1" applyAlignment="1" applyProtection="1">
      <alignment horizontal="center" vertical="top"/>
      <protection hidden="1"/>
    </xf>
    <xf numFmtId="164" fontId="2" fillId="2" borderId="16" xfId="0" applyNumberFormat="1" applyFont="1" applyFill="1" applyBorder="1" applyAlignment="1" applyProtection="1">
      <alignment horizontal="center" vertical="top"/>
      <protection hidden="1"/>
    </xf>
    <xf numFmtId="164" fontId="2" fillId="2" borderId="11" xfId="0" applyNumberFormat="1" applyFont="1" applyFill="1" applyBorder="1" applyAlignment="1" applyProtection="1">
      <alignment horizontal="center" vertical="top"/>
      <protection hidden="1"/>
    </xf>
    <xf numFmtId="0" fontId="24" fillId="2" borderId="0" xfId="0" applyNumberFormat="1" applyFont="1" applyFill="1" applyBorder="1" applyAlignment="1" applyProtection="1">
      <alignment horizontal="centerContinuous" vertical="top"/>
      <protection hidden="1"/>
    </xf>
    <xf numFmtId="0" fontId="2" fillId="2" borderId="0" xfId="0" applyNumberFormat="1" applyFont="1" applyFill="1" applyBorder="1" applyAlignment="1" applyProtection="1">
      <alignment horizontal="center" vertical="top"/>
      <protection hidden="1"/>
    </xf>
    <xf numFmtId="1" fontId="14" fillId="2" borderId="0" xfId="0" applyNumberFormat="1" applyFont="1" applyFill="1" applyBorder="1" applyAlignment="1" applyProtection="1">
      <alignment horizontal="center"/>
      <protection hidden="1"/>
    </xf>
    <xf numFmtId="0" fontId="23" fillId="2" borderId="0" xfId="0" applyNumberFormat="1" applyFont="1" applyFill="1" applyBorder="1" applyAlignment="1" applyProtection="1">
      <alignment horizontal="right" vertical="top"/>
      <protection hidden="1"/>
    </xf>
    <xf numFmtId="0" fontId="0" fillId="2" borderId="0" xfId="0" applyFill="1" applyBorder="1" applyAlignment="1" applyProtection="1">
      <alignment vertical="top" wrapText="1"/>
      <protection hidden="1"/>
    </xf>
    <xf numFmtId="0" fontId="13" fillId="2" borderId="0" xfId="0" applyNumberFormat="1" applyFont="1" applyFill="1" applyBorder="1" applyAlignment="1" applyProtection="1">
      <alignment vertical="top"/>
      <protection hidden="1"/>
    </xf>
    <xf numFmtId="0" fontId="10" fillId="2" borderId="0" xfId="0" applyNumberFormat="1" applyFont="1" applyFill="1" applyBorder="1" applyAlignment="1" applyProtection="1">
      <alignment horizontal="centerContinuous" vertical="top"/>
      <protection hidden="1"/>
    </xf>
    <xf numFmtId="17" fontId="2" fillId="2" borderId="0" xfId="0" applyNumberFormat="1" applyFont="1" applyFill="1" applyBorder="1" applyAlignment="1" applyProtection="1">
      <alignment horizontal="centerContinuous" vertical="top"/>
      <protection hidden="1"/>
    </xf>
    <xf numFmtId="0" fontId="2" fillId="2" borderId="0" xfId="0" applyNumberFormat="1" applyFont="1" applyFill="1" applyBorder="1" applyAlignment="1" applyProtection="1">
      <alignment horizontal="centerContinuous" vertical="top"/>
      <protection hidden="1"/>
    </xf>
    <xf numFmtId="0" fontId="14" fillId="2" borderId="0" xfId="0" applyFont="1" applyFill="1" applyBorder="1" applyAlignment="1" applyProtection="1">
      <alignment horizontal="center"/>
      <protection hidden="1"/>
    </xf>
    <xf numFmtId="0" fontId="2" fillId="2" borderId="0" xfId="0" applyNumberFormat="1" applyFont="1" applyFill="1" applyBorder="1" applyAlignment="1" applyProtection="1">
      <alignment horizontal="right" vertical="top"/>
      <protection hidden="1"/>
    </xf>
    <xf numFmtId="17" fontId="2" fillId="2" borderId="0" xfId="0" applyNumberFormat="1" applyFont="1" applyFill="1" applyBorder="1" applyAlignment="1" applyProtection="1">
      <alignment horizontal="right" vertical="top"/>
      <protection hidden="1"/>
    </xf>
    <xf numFmtId="0" fontId="0" fillId="2" borderId="0" xfId="0" applyFill="1" applyAlignment="1" applyProtection="1">
      <alignment horizontal="right"/>
      <protection hidden="1"/>
    </xf>
    <xf numFmtId="0" fontId="2" fillId="2" borderId="1" xfId="0" applyNumberFormat="1" applyFont="1" applyFill="1" applyBorder="1" applyAlignment="1" applyProtection="1">
      <alignment horizontal="center" vertical="top"/>
      <protection hidden="1"/>
    </xf>
    <xf numFmtId="0" fontId="15" fillId="2" borderId="0" xfId="0" applyFont="1" applyFill="1" applyBorder="1" applyProtection="1">
      <protection hidden="1"/>
    </xf>
    <xf numFmtId="0" fontId="28" fillId="2" borderId="0" xfId="0" applyNumberFormat="1" applyFont="1" applyFill="1" applyBorder="1" applyAlignment="1" applyProtection="1">
      <alignment horizontal="centerContinuous" vertical="top" wrapText="1"/>
      <protection hidden="1"/>
    </xf>
    <xf numFmtId="0" fontId="13" fillId="2" borderId="0" xfId="0" applyNumberFormat="1" applyFont="1" applyFill="1" applyBorder="1" applyAlignment="1" applyProtection="1">
      <alignment horizontal="right" vertical="top" wrapText="1"/>
      <protection hidden="1"/>
    </xf>
    <xf numFmtId="0" fontId="16" fillId="2" borderId="0" xfId="0" applyFont="1" applyFill="1" applyAlignment="1" applyProtection="1">
      <protection hidden="1"/>
    </xf>
    <xf numFmtId="17" fontId="8" fillId="2" borderId="0" xfId="0" applyNumberFormat="1" applyFont="1" applyFill="1" applyBorder="1" applyAlignment="1" applyProtection="1">
      <alignment horizontal="center" vertical="top"/>
      <protection hidden="1"/>
    </xf>
    <xf numFmtId="1" fontId="8" fillId="2" borderId="0" xfId="0" applyNumberFormat="1" applyFont="1" applyFill="1" applyBorder="1" applyAlignment="1" applyProtection="1">
      <alignment horizontal="right" vertical="top"/>
      <protection hidden="1"/>
    </xf>
    <xf numFmtId="2" fontId="8" fillId="2" borderId="0" xfId="0" applyNumberFormat="1" applyFont="1" applyFill="1" applyBorder="1" applyProtection="1">
      <protection hidden="1"/>
    </xf>
    <xf numFmtId="0" fontId="13" fillId="2" borderId="1" xfId="0" applyNumberFormat="1" applyFont="1" applyFill="1" applyBorder="1" applyAlignment="1" applyProtection="1">
      <alignment vertical="top"/>
      <protection hidden="1"/>
    </xf>
    <xf numFmtId="0" fontId="2" fillId="2" borderId="20" xfId="0" applyNumberFormat="1" applyFont="1" applyFill="1" applyBorder="1" applyAlignment="1" applyProtection="1">
      <alignment horizontal="center" vertical="top"/>
      <protection hidden="1"/>
    </xf>
    <xf numFmtId="0" fontId="10" fillId="2" borderId="2" xfId="0" applyNumberFormat="1" applyFont="1" applyFill="1" applyBorder="1" applyAlignment="1" applyProtection="1">
      <alignment horizontal="centerContinuous" vertical="top"/>
      <protection hidden="1"/>
    </xf>
    <xf numFmtId="0" fontId="10" fillId="2" borderId="2" xfId="0" applyNumberFormat="1" applyFont="1" applyFill="1" applyBorder="1" applyAlignment="1" applyProtection="1">
      <alignment horizontal="right" vertical="top"/>
      <protection hidden="1"/>
    </xf>
    <xf numFmtId="2" fontId="10" fillId="2" borderId="2" xfId="0" applyNumberFormat="1" applyFont="1" applyFill="1" applyBorder="1" applyAlignment="1" applyProtection="1">
      <alignment horizontal="centerContinuous" vertical="top"/>
      <protection hidden="1"/>
    </xf>
    <xf numFmtId="0" fontId="8" fillId="2" borderId="0" xfId="0" applyNumberFormat="1" applyFont="1" applyFill="1" applyBorder="1" applyAlignment="1" applyProtection="1">
      <alignment horizontal="centerContinuous" vertical="top"/>
      <protection hidden="1"/>
    </xf>
    <xf numFmtId="0" fontId="0" fillId="2" borderId="12" xfId="0" applyFill="1" applyBorder="1" applyProtection="1">
      <protection hidden="1"/>
    </xf>
    <xf numFmtId="13" fontId="0" fillId="2" borderId="12" xfId="0" applyNumberFormat="1" applyFill="1" applyBorder="1" applyProtection="1">
      <protection hidden="1"/>
    </xf>
    <xf numFmtId="165" fontId="8" fillId="2" borderId="0" xfId="1" applyNumberFormat="1" applyFont="1" applyFill="1" applyBorder="1" applyAlignment="1" applyProtection="1">
      <alignment horizontal="center"/>
      <protection hidden="1"/>
    </xf>
    <xf numFmtId="165" fontId="8" fillId="2" borderId="0" xfId="1" applyNumberFormat="1" applyFont="1" applyFill="1" applyBorder="1" applyAlignment="1" applyProtection="1">
      <alignment vertical="top"/>
      <protection hidden="1"/>
    </xf>
    <xf numFmtId="165" fontId="10" fillId="2" borderId="0" xfId="1" applyNumberFormat="1" applyFont="1" applyFill="1" applyBorder="1" applyAlignment="1" applyProtection="1">
      <alignment horizontal="centerContinuous" vertical="top"/>
      <protection hidden="1"/>
    </xf>
    <xf numFmtId="0" fontId="25" fillId="2" borderId="0" xfId="0" applyFont="1" applyFill="1" applyAlignment="1" applyProtection="1">
      <alignment horizontal="center" wrapText="1"/>
      <protection hidden="1"/>
    </xf>
    <xf numFmtId="0" fontId="14" fillId="2" borderId="0" xfId="0" applyNumberFormat="1" applyFont="1" applyFill="1" applyBorder="1" applyAlignment="1" applyProtection="1">
      <alignment horizontal="center" vertical="top"/>
      <protection hidden="1"/>
    </xf>
    <xf numFmtId="0" fontId="8" fillId="2" borderId="0" xfId="0" applyFont="1" applyFill="1" applyProtection="1">
      <protection hidden="1"/>
    </xf>
    <xf numFmtId="0" fontId="8" fillId="2" borderId="0" xfId="0" applyFont="1" applyFill="1" applyAlignment="1" applyProtection="1">
      <alignment horizontal="center"/>
      <protection hidden="1"/>
    </xf>
    <xf numFmtId="13" fontId="8" fillId="2" borderId="0" xfId="0" applyNumberFormat="1" applyFont="1" applyFill="1" applyBorder="1" applyAlignment="1" applyProtection="1">
      <alignment horizontal="center"/>
      <protection hidden="1"/>
    </xf>
    <xf numFmtId="165" fontId="8" fillId="2" borderId="0" xfId="1" applyNumberFormat="1" applyFont="1" applyFill="1" applyBorder="1" applyAlignment="1" applyProtection="1">
      <alignment horizontal="centerContinuous" vertical="top"/>
      <protection hidden="1"/>
    </xf>
    <xf numFmtId="17" fontId="8" fillId="2" borderId="0" xfId="0" applyNumberFormat="1" applyFont="1" applyFill="1" applyBorder="1" applyAlignment="1" applyProtection="1">
      <alignment horizontal="left" vertical="top"/>
      <protection hidden="1"/>
    </xf>
    <xf numFmtId="0" fontId="27" fillId="2" borderId="0" xfId="2" applyNumberFormat="1" applyFont="1" applyFill="1" applyBorder="1" applyAlignment="1" applyProtection="1">
      <alignment horizontal="center" vertical="center"/>
      <protection hidden="1"/>
    </xf>
    <xf numFmtId="1" fontId="8" fillId="2" borderId="0" xfId="0" applyNumberFormat="1" applyFont="1" applyFill="1" applyBorder="1" applyAlignment="1" applyProtection="1">
      <alignment horizontal="center" vertical="top"/>
      <protection hidden="1"/>
    </xf>
    <xf numFmtId="1" fontId="8" fillId="2" borderId="0" xfId="0" applyNumberFormat="1" applyFont="1" applyFill="1" applyBorder="1" applyAlignment="1" applyProtection="1">
      <alignment horizontal="left" vertical="top"/>
      <protection hidden="1"/>
    </xf>
    <xf numFmtId="0" fontId="8" fillId="2" borderId="0" xfId="0" applyNumberFormat="1" applyFont="1" applyFill="1" applyBorder="1" applyAlignment="1" applyProtection="1">
      <alignment horizontal="center" vertical="top"/>
      <protection hidden="1"/>
    </xf>
    <xf numFmtId="2" fontId="10" fillId="2" borderId="0" xfId="0" applyNumberFormat="1" applyFont="1" applyFill="1" applyBorder="1" applyAlignment="1" applyProtection="1">
      <alignment horizontal="centerContinuous" vertical="top"/>
      <protection hidden="1"/>
    </xf>
    <xf numFmtId="13" fontId="0" fillId="2" borderId="0" xfId="0" applyNumberFormat="1" applyFill="1" applyBorder="1" applyProtection="1">
      <protection hidden="1"/>
    </xf>
    <xf numFmtId="0" fontId="21" fillId="2" borderId="0" xfId="0" applyFont="1" applyFill="1" applyBorder="1" applyProtection="1">
      <protection hidden="1"/>
    </xf>
    <xf numFmtId="0" fontId="20" fillId="2" borderId="0" xfId="0" applyFont="1" applyFill="1" applyBorder="1" applyProtection="1">
      <protection hidden="1"/>
    </xf>
    <xf numFmtId="0" fontId="0" fillId="2" borderId="0" xfId="0" applyFill="1" applyBorder="1" applyAlignment="1" applyProtection="1">
      <protection hidden="1"/>
    </xf>
    <xf numFmtId="2" fontId="0" fillId="2" borderId="12" xfId="0" applyNumberFormat="1" applyFill="1" applyBorder="1" applyProtection="1">
      <protection hidden="1"/>
    </xf>
    <xf numFmtId="0" fontId="15" fillId="2" borderId="0" xfId="0" applyFont="1" applyFill="1" applyAlignment="1" applyProtection="1">
      <alignment horizontal="center"/>
      <protection hidden="1"/>
    </xf>
    <xf numFmtId="2" fontId="0" fillId="2" borderId="6" xfId="0" applyNumberFormat="1" applyFill="1" applyBorder="1" applyProtection="1">
      <protection hidden="1"/>
    </xf>
    <xf numFmtId="0" fontId="0" fillId="0" borderId="0" xfId="0" applyBorder="1" applyAlignment="1" applyProtection="1">
      <alignment horizontal="center"/>
      <protection hidden="1"/>
    </xf>
    <xf numFmtId="0" fontId="0" fillId="2" borderId="0" xfId="0" applyFill="1" applyBorder="1" applyAlignment="1" applyProtection="1">
      <alignment horizontal="center"/>
      <protection hidden="1"/>
    </xf>
    <xf numFmtId="0" fontId="10" fillId="2" borderId="0" xfId="0" applyFont="1" applyFill="1" applyAlignment="1" applyProtection="1">
      <alignment horizontal="right"/>
      <protection hidden="1"/>
    </xf>
    <xf numFmtId="0" fontId="0" fillId="2" borderId="0" xfId="0" applyFill="1" applyAlignment="1" applyProtection="1">
      <alignment horizontal="center" wrapText="1"/>
      <protection hidden="1"/>
    </xf>
    <xf numFmtId="0" fontId="0" fillId="0" borderId="0" xfId="0" applyAlignment="1" applyProtection="1">
      <alignment horizontal="center" wrapText="1"/>
      <protection hidden="1"/>
    </xf>
    <xf numFmtId="0" fontId="0" fillId="2" borderId="0" xfId="0" applyFill="1" applyBorder="1" applyAlignment="1" applyProtection="1">
      <alignment horizontal="center" vertical="top"/>
      <protection hidden="1"/>
    </xf>
    <xf numFmtId="0" fontId="27" fillId="2" borderId="0" xfId="2" applyFont="1" applyFill="1" applyBorder="1" applyAlignment="1" applyProtection="1">
      <alignment horizontal="center" vertical="center"/>
      <protection hidden="1"/>
    </xf>
    <xf numFmtId="0" fontId="29" fillId="2" borderId="0" xfId="2" applyFont="1" applyFill="1" applyBorder="1" applyAlignment="1" applyProtection="1">
      <alignment horizontal="right" vertical="center"/>
      <protection hidden="1"/>
    </xf>
    <xf numFmtId="165" fontId="29" fillId="2" borderId="0" xfId="1" applyNumberFormat="1" applyFont="1" applyFill="1" applyBorder="1" applyAlignment="1" applyProtection="1">
      <alignment horizontal="center" vertical="center"/>
      <protection hidden="1"/>
    </xf>
    <xf numFmtId="0" fontId="29" fillId="2" borderId="0" xfId="2" applyFont="1" applyFill="1" applyBorder="1" applyAlignment="1" applyProtection="1">
      <alignment horizontal="center" vertical="center"/>
      <protection hidden="1"/>
    </xf>
    <xf numFmtId="0" fontId="8" fillId="2" borderId="0" xfId="2" applyFont="1" applyFill="1" applyBorder="1" applyAlignment="1" applyProtection="1">
      <alignment horizontal="right" vertical="center"/>
      <protection hidden="1"/>
    </xf>
    <xf numFmtId="165" fontId="8" fillId="2" borderId="0" xfId="1" applyNumberFormat="1" applyFont="1" applyFill="1" applyBorder="1" applyAlignment="1" applyProtection="1">
      <alignment horizontal="center" vertical="center"/>
      <protection hidden="1"/>
    </xf>
    <xf numFmtId="0" fontId="8" fillId="2" borderId="0" xfId="2" applyFont="1" applyFill="1" applyBorder="1" applyAlignment="1" applyProtection="1">
      <alignment horizontal="left" vertical="center"/>
      <protection hidden="1"/>
    </xf>
    <xf numFmtId="0" fontId="0" fillId="2" borderId="0" xfId="0" applyFill="1" applyBorder="1" applyAlignment="1" applyProtection="1">
      <alignment vertical="top"/>
      <protection hidden="1"/>
    </xf>
    <xf numFmtId="0" fontId="8" fillId="2" borderId="4" xfId="0" applyFont="1" applyFill="1" applyBorder="1" applyAlignment="1" applyProtection="1">
      <alignment horizontal="center"/>
      <protection hidden="1"/>
    </xf>
    <xf numFmtId="13" fontId="8" fillId="2" borderId="4" xfId="0" applyNumberFormat="1" applyFont="1" applyFill="1" applyBorder="1" applyAlignment="1" applyProtection="1">
      <alignment horizontal="center"/>
      <protection hidden="1"/>
    </xf>
    <xf numFmtId="0" fontId="23" fillId="2" borderId="0" xfId="0" applyFont="1" applyFill="1" applyAlignment="1" applyProtection="1">
      <alignment horizontal="right"/>
      <protection hidden="1"/>
    </xf>
    <xf numFmtId="0" fontId="15" fillId="2" borderId="0" xfId="0" applyFont="1" applyFill="1" applyProtection="1">
      <protection hidden="1"/>
    </xf>
    <xf numFmtId="3" fontId="8" fillId="2" borderId="4" xfId="0" applyNumberFormat="1" applyFont="1" applyFill="1" applyBorder="1" applyProtection="1">
      <protection hidden="1"/>
    </xf>
    <xf numFmtId="3" fontId="9" fillId="2" borderId="4" xfId="0" applyNumberFormat="1" applyFont="1" applyFill="1" applyBorder="1" applyAlignment="1" applyProtection="1">
      <alignment vertical="top"/>
      <protection hidden="1"/>
    </xf>
    <xf numFmtId="0" fontId="23" fillId="2" borderId="0" xfId="0" applyFont="1" applyFill="1" applyBorder="1" applyAlignment="1" applyProtection="1">
      <alignment horizontal="right"/>
      <protection hidden="1"/>
    </xf>
    <xf numFmtId="2" fontId="9" fillId="2" borderId="4" xfId="0" applyNumberFormat="1" applyFont="1" applyFill="1" applyBorder="1" applyAlignment="1" applyProtection="1">
      <alignment vertical="top"/>
      <protection hidden="1"/>
    </xf>
    <xf numFmtId="0" fontId="8" fillId="2" borderId="4" xfId="0" applyNumberFormat="1" applyFont="1" applyFill="1" applyBorder="1" applyAlignment="1" applyProtection="1">
      <alignment vertical="top"/>
      <protection hidden="1"/>
    </xf>
    <xf numFmtId="3" fontId="8" fillId="2" borderId="4" xfId="0" applyNumberFormat="1" applyFont="1" applyFill="1" applyBorder="1" applyAlignment="1" applyProtection="1">
      <alignment vertical="top"/>
      <protection hidden="1"/>
    </xf>
    <xf numFmtId="0" fontId="23" fillId="2" borderId="0" xfId="0" applyFont="1" applyFill="1" applyBorder="1" applyProtection="1">
      <protection hidden="1"/>
    </xf>
    <xf numFmtId="0" fontId="41" fillId="2" borderId="0" xfId="0" applyFont="1" applyFill="1" applyBorder="1" applyProtection="1">
      <protection hidden="1"/>
    </xf>
    <xf numFmtId="0" fontId="25" fillId="2" borderId="0" xfId="0" applyFont="1" applyFill="1" applyBorder="1" applyProtection="1">
      <protection hidden="1"/>
    </xf>
    <xf numFmtId="0" fontId="36" fillId="2" borderId="0" xfId="2" applyFont="1" applyFill="1" applyAlignment="1" applyProtection="1">
      <alignment horizontal="center" vertical="center"/>
      <protection hidden="1"/>
    </xf>
    <xf numFmtId="0" fontId="17" fillId="2" borderId="0" xfId="0" applyNumberFormat="1" applyFont="1" applyFill="1" applyBorder="1" applyAlignment="1" applyProtection="1">
      <alignment horizontal="center" vertical="top"/>
      <protection hidden="1"/>
    </xf>
    <xf numFmtId="2" fontId="8" fillId="2" borderId="4" xfId="0" applyNumberFormat="1" applyFont="1" applyFill="1" applyBorder="1" applyAlignment="1" applyProtection="1">
      <alignment vertical="top"/>
      <protection hidden="1"/>
    </xf>
    <xf numFmtId="0" fontId="25" fillId="2" borderId="0" xfId="0" applyNumberFormat="1" applyFont="1" applyFill="1" applyBorder="1" applyAlignment="1" applyProtection="1">
      <alignment horizontal="right" vertical="top"/>
      <protection hidden="1"/>
    </xf>
    <xf numFmtId="0" fontId="8" fillId="2" borderId="0" xfId="0" applyFont="1" applyFill="1" applyAlignment="1" applyProtection="1">
      <alignment horizontal="right"/>
      <protection hidden="1"/>
    </xf>
    <xf numFmtId="0" fontId="44" fillId="2" borderId="0" xfId="0" applyNumberFormat="1" applyFont="1" applyFill="1" applyBorder="1" applyAlignment="1" applyProtection="1">
      <alignment horizontal="centerContinuous" vertical="top" wrapText="1"/>
      <protection hidden="1"/>
    </xf>
    <xf numFmtId="0" fontId="8" fillId="2" borderId="22" xfId="0" applyFont="1" applyFill="1" applyBorder="1" applyAlignment="1" applyProtection="1">
      <alignment horizontal="center"/>
      <protection hidden="1"/>
    </xf>
    <xf numFmtId="0" fontId="0" fillId="2" borderId="0" xfId="0" applyFill="1" applyBorder="1" applyAlignment="1" applyProtection="1">
      <alignment horizontal="center" vertical="center"/>
      <protection hidden="1"/>
    </xf>
    <xf numFmtId="0" fontId="8" fillId="2" borderId="0" xfId="0" applyFont="1" applyFill="1" applyBorder="1" applyAlignment="1" applyProtection="1">
      <alignment horizontal="center" vertical="center"/>
      <protection hidden="1"/>
    </xf>
    <xf numFmtId="0" fontId="8" fillId="2" borderId="22" xfId="0" applyFont="1" applyFill="1" applyBorder="1" applyAlignment="1" applyProtection="1">
      <alignment vertical="center"/>
      <protection hidden="1"/>
    </xf>
    <xf numFmtId="2" fontId="0" fillId="2" borderId="0" xfId="0" applyNumberFormat="1" applyFill="1" applyBorder="1" applyProtection="1">
      <protection hidden="1"/>
    </xf>
    <xf numFmtId="0" fontId="30" fillId="2" borderId="0" xfId="0" applyFont="1" applyFill="1" applyProtection="1">
      <protection hidden="1"/>
    </xf>
    <xf numFmtId="0" fontId="30" fillId="2" borderId="12" xfId="0" applyFont="1" applyFill="1" applyBorder="1" applyProtection="1">
      <protection hidden="1"/>
    </xf>
    <xf numFmtId="1" fontId="0" fillId="2" borderId="0" xfId="0" applyNumberFormat="1" applyFill="1" applyProtection="1">
      <protection hidden="1"/>
    </xf>
    <xf numFmtId="0" fontId="0" fillId="2" borderId="6" xfId="0" applyFill="1" applyBorder="1" applyProtection="1">
      <protection hidden="1"/>
    </xf>
    <xf numFmtId="1" fontId="30" fillId="2" borderId="12" xfId="0" applyNumberFormat="1" applyFont="1" applyFill="1" applyBorder="1" applyProtection="1">
      <protection hidden="1"/>
    </xf>
    <xf numFmtId="1" fontId="0" fillId="2" borderId="12" xfId="0" applyNumberFormat="1" applyFill="1" applyBorder="1" applyProtection="1">
      <protection hidden="1"/>
    </xf>
    <xf numFmtId="0" fontId="0" fillId="5" borderId="0" xfId="0" applyFill="1" applyBorder="1" applyAlignment="1" applyProtection="1">
      <alignment horizontal="center"/>
      <protection hidden="1"/>
    </xf>
    <xf numFmtId="0" fontId="0" fillId="5" borderId="12" xfId="0" applyFill="1" applyBorder="1" applyProtection="1">
      <protection hidden="1"/>
    </xf>
    <xf numFmtId="2" fontId="0" fillId="5" borderId="6" xfId="0" applyNumberFormat="1" applyFill="1" applyBorder="1" applyProtection="1">
      <protection hidden="1"/>
    </xf>
    <xf numFmtId="2" fontId="0" fillId="5" borderId="12" xfId="0" applyNumberFormat="1" applyFill="1" applyBorder="1" applyProtection="1">
      <protection hidden="1"/>
    </xf>
    <xf numFmtId="0" fontId="0" fillId="5" borderId="0" xfId="0" applyFill="1" applyProtection="1">
      <protection hidden="1"/>
    </xf>
    <xf numFmtId="1" fontId="0" fillId="2" borderId="8" xfId="0" applyNumberFormat="1" applyFill="1" applyBorder="1" applyProtection="1">
      <protection hidden="1"/>
    </xf>
    <xf numFmtId="0" fontId="0" fillId="0" borderId="12" xfId="0" applyFill="1" applyBorder="1" applyAlignment="1" applyProtection="1">
      <alignment horizontal="center"/>
      <protection hidden="1"/>
    </xf>
    <xf numFmtId="1" fontId="0" fillId="0" borderId="12" xfId="0" applyNumberFormat="1" applyFill="1" applyBorder="1" applyProtection="1">
      <protection hidden="1"/>
    </xf>
    <xf numFmtId="1" fontId="0" fillId="2" borderId="6" xfId="0" applyNumberFormat="1" applyFill="1" applyBorder="1" applyProtection="1">
      <protection hidden="1"/>
    </xf>
    <xf numFmtId="0" fontId="0" fillId="2" borderId="25" xfId="0" applyFill="1" applyBorder="1" applyProtection="1">
      <protection hidden="1"/>
    </xf>
    <xf numFmtId="0" fontId="30" fillId="2" borderId="0" xfId="0" applyFont="1" applyFill="1" applyBorder="1" applyProtection="1">
      <protection hidden="1"/>
    </xf>
    <xf numFmtId="1" fontId="0" fillId="2" borderId="0" xfId="0" applyNumberFormat="1" applyFill="1" applyBorder="1" applyProtection="1">
      <protection hidden="1"/>
    </xf>
    <xf numFmtId="0" fontId="0" fillId="6" borderId="12" xfId="0" applyFill="1" applyBorder="1" applyProtection="1">
      <protection hidden="1"/>
    </xf>
    <xf numFmtId="0" fontId="30" fillId="6" borderId="12" xfId="0" applyFont="1" applyFill="1" applyBorder="1" applyProtection="1">
      <protection hidden="1"/>
    </xf>
    <xf numFmtId="1" fontId="30" fillId="6" borderId="12" xfId="0" applyNumberFormat="1" applyFont="1" applyFill="1" applyBorder="1" applyProtection="1">
      <protection hidden="1"/>
    </xf>
    <xf numFmtId="2" fontId="0" fillId="6" borderId="6" xfId="0" applyNumberFormat="1" applyFill="1" applyBorder="1" applyProtection="1">
      <protection hidden="1"/>
    </xf>
    <xf numFmtId="2" fontId="0" fillId="6" borderId="12" xfId="0" applyNumberFormat="1" applyFill="1" applyBorder="1" applyProtection="1">
      <protection hidden="1"/>
    </xf>
    <xf numFmtId="1" fontId="0" fillId="6" borderId="12" xfId="0" applyNumberFormat="1" applyFill="1" applyBorder="1" applyProtection="1">
      <protection hidden="1"/>
    </xf>
    <xf numFmtId="1" fontId="0" fillId="6" borderId="6" xfId="0" applyNumberFormat="1" applyFill="1" applyBorder="1" applyProtection="1">
      <protection hidden="1"/>
    </xf>
    <xf numFmtId="1" fontId="0" fillId="6" borderId="8" xfId="0" applyNumberFormat="1" applyFill="1" applyBorder="1" applyProtection="1">
      <protection hidden="1"/>
    </xf>
    <xf numFmtId="0" fontId="0" fillId="6" borderId="12" xfId="0" applyFill="1" applyBorder="1" applyAlignment="1" applyProtection="1">
      <alignment horizontal="center"/>
      <protection hidden="1"/>
    </xf>
    <xf numFmtId="1" fontId="30" fillId="6" borderId="12" xfId="0" applyNumberFormat="1" applyFont="1" applyFill="1" applyBorder="1" applyAlignment="1" applyProtection="1">
      <alignment horizontal="right"/>
      <protection hidden="1"/>
    </xf>
    <xf numFmtId="2" fontId="30" fillId="6" borderId="12" xfId="0" applyNumberFormat="1" applyFont="1" applyFill="1" applyBorder="1" applyAlignment="1" applyProtection="1">
      <alignment horizontal="right"/>
      <protection hidden="1"/>
    </xf>
    <xf numFmtId="0" fontId="30" fillId="6" borderId="12" xfId="0" applyFont="1" applyFill="1" applyBorder="1" applyAlignment="1" applyProtection="1">
      <alignment horizontal="right"/>
      <protection hidden="1"/>
    </xf>
    <xf numFmtId="0" fontId="0" fillId="6" borderId="0" xfId="0" applyFill="1" applyAlignment="1" applyProtection="1">
      <alignment horizontal="left"/>
      <protection hidden="1"/>
    </xf>
    <xf numFmtId="2" fontId="30" fillId="6" borderId="12" xfId="0" applyNumberFormat="1" applyFont="1" applyFill="1" applyBorder="1" applyAlignment="1" applyProtection="1">
      <alignment horizontal="left"/>
      <protection hidden="1"/>
    </xf>
    <xf numFmtId="2" fontId="0" fillId="6" borderId="6" xfId="0" applyNumberFormat="1" applyFill="1" applyBorder="1" applyAlignment="1" applyProtection="1">
      <alignment horizontal="left"/>
      <protection hidden="1"/>
    </xf>
    <xf numFmtId="0" fontId="0" fillId="2" borderId="0" xfId="0" applyFill="1" applyAlignment="1" applyProtection="1">
      <alignment horizontal="left"/>
      <protection hidden="1"/>
    </xf>
    <xf numFmtId="0" fontId="2" fillId="2" borderId="25" xfId="0" applyNumberFormat="1" applyFont="1" applyFill="1" applyBorder="1" applyAlignment="1" applyProtection="1">
      <alignment horizontal="center" vertical="top"/>
      <protection hidden="1"/>
    </xf>
    <xf numFmtId="0" fontId="10" fillId="2" borderId="25" xfId="0" applyNumberFormat="1" applyFont="1" applyFill="1" applyBorder="1" applyAlignment="1" applyProtection="1">
      <alignment horizontal="centerContinuous" vertical="top"/>
      <protection hidden="1"/>
    </xf>
    <xf numFmtId="0" fontId="10" fillId="2" borderId="25" xfId="0" applyNumberFormat="1" applyFont="1" applyFill="1" applyBorder="1" applyAlignment="1" applyProtection="1">
      <alignment horizontal="right" vertical="top"/>
      <protection hidden="1"/>
    </xf>
    <xf numFmtId="2" fontId="10" fillId="2" borderId="25" xfId="0" applyNumberFormat="1" applyFont="1" applyFill="1" applyBorder="1" applyAlignment="1" applyProtection="1">
      <alignment horizontal="centerContinuous" vertical="top"/>
      <protection hidden="1"/>
    </xf>
    <xf numFmtId="0" fontId="10" fillId="2" borderId="0" xfId="0" applyNumberFormat="1" applyFont="1" applyFill="1" applyBorder="1" applyAlignment="1" applyProtection="1">
      <alignment horizontal="center" vertical="top"/>
      <protection hidden="1"/>
    </xf>
    <xf numFmtId="13" fontId="30" fillId="2" borderId="12" xfId="0" applyNumberFormat="1" applyFont="1" applyFill="1" applyBorder="1" applyProtection="1">
      <protection hidden="1"/>
    </xf>
    <xf numFmtId="0" fontId="38" fillId="2" borderId="0" xfId="2" applyFont="1" applyFill="1" applyAlignment="1" applyProtection="1">
      <alignment vertical="top" wrapText="1"/>
      <protection hidden="1"/>
    </xf>
    <xf numFmtId="0" fontId="32" fillId="0" borderId="0" xfId="0" applyFont="1" applyAlignment="1" applyProtection="1">
      <alignment vertical="center"/>
      <protection hidden="1"/>
    </xf>
    <xf numFmtId="0" fontId="32" fillId="2" borderId="0" xfId="0" applyFont="1" applyFill="1" applyBorder="1" applyAlignment="1" applyProtection="1">
      <alignment vertical="center"/>
      <protection hidden="1"/>
    </xf>
    <xf numFmtId="0" fontId="8" fillId="2" borderId="0" xfId="0" applyFont="1" applyFill="1" applyAlignment="1" applyProtection="1">
      <protection hidden="1"/>
    </xf>
    <xf numFmtId="0" fontId="32" fillId="7" borderId="0" xfId="0" applyFont="1" applyFill="1" applyAlignment="1" applyProtection="1">
      <alignment vertical="center"/>
      <protection hidden="1"/>
    </xf>
    <xf numFmtId="0" fontId="10" fillId="7" borderId="0" xfId="0" applyNumberFormat="1" applyFont="1" applyFill="1" applyBorder="1" applyAlignment="1" applyProtection="1">
      <alignment horizontal="center" vertical="top"/>
      <protection hidden="1"/>
    </xf>
    <xf numFmtId="17" fontId="30" fillId="7" borderId="0" xfId="0" applyNumberFormat="1" applyFont="1" applyFill="1" applyBorder="1" applyAlignment="1" applyProtection="1">
      <alignment vertical="center"/>
      <protection hidden="1"/>
    </xf>
    <xf numFmtId="0" fontId="30" fillId="7" borderId="0" xfId="0" applyFont="1" applyFill="1" applyAlignment="1" applyProtection="1">
      <alignment vertical="center"/>
      <protection hidden="1"/>
    </xf>
    <xf numFmtId="0" fontId="0" fillId="7" borderId="0" xfId="0" applyFill="1" applyAlignment="1" applyProtection="1">
      <alignment vertical="center"/>
      <protection hidden="1"/>
    </xf>
    <xf numFmtId="0" fontId="0" fillId="7" borderId="0" xfId="0" applyFill="1" applyBorder="1" applyAlignment="1" applyProtection="1">
      <protection hidden="1"/>
    </xf>
    <xf numFmtId="0" fontId="2" fillId="7" borderId="0" xfId="0" applyNumberFormat="1" applyFont="1" applyFill="1" applyBorder="1" applyAlignment="1" applyProtection="1">
      <alignment horizontal="center" vertical="top"/>
      <protection hidden="1"/>
    </xf>
    <xf numFmtId="0" fontId="32" fillId="7" borderId="0" xfId="0" applyFont="1" applyFill="1" applyBorder="1" applyAlignment="1" applyProtection="1">
      <alignment vertical="center"/>
      <protection hidden="1"/>
    </xf>
    <xf numFmtId="0" fontId="0" fillId="7" borderId="0" xfId="0" applyFill="1" applyAlignment="1" applyProtection="1">
      <protection hidden="1"/>
    </xf>
    <xf numFmtId="0" fontId="10" fillId="7" borderId="5" xfId="0" applyNumberFormat="1" applyFont="1" applyFill="1" applyBorder="1" applyAlignment="1" applyProtection="1">
      <alignment horizontal="center" vertical="top"/>
      <protection hidden="1"/>
    </xf>
    <xf numFmtId="0" fontId="30" fillId="7" borderId="5" xfId="0" applyFont="1" applyFill="1" applyBorder="1" applyAlignment="1" applyProtection="1">
      <alignment vertical="center"/>
      <protection hidden="1"/>
    </xf>
    <xf numFmtId="0" fontId="30" fillId="7" borderId="0" xfId="0" applyFont="1" applyFill="1" applyBorder="1" applyAlignment="1" applyProtection="1">
      <alignment vertical="center"/>
      <protection hidden="1"/>
    </xf>
    <xf numFmtId="0" fontId="0" fillId="7" borderId="0" xfId="0" applyFill="1" applyBorder="1" applyAlignment="1" applyProtection="1">
      <alignment vertical="center"/>
      <protection hidden="1"/>
    </xf>
    <xf numFmtId="0" fontId="0" fillId="7" borderId="5" xfId="0" applyFill="1" applyBorder="1" applyAlignment="1" applyProtection="1">
      <alignment vertical="center"/>
      <protection hidden="1"/>
    </xf>
    <xf numFmtId="0" fontId="10" fillId="2" borderId="2" xfId="0" applyNumberFormat="1" applyFont="1" applyFill="1" applyBorder="1" applyAlignment="1" applyProtection="1">
      <alignment horizontal="center" vertical="top"/>
      <protection hidden="1"/>
    </xf>
    <xf numFmtId="0" fontId="10" fillId="7" borderId="2" xfId="0" applyNumberFormat="1" applyFont="1" applyFill="1" applyBorder="1" applyAlignment="1" applyProtection="1">
      <alignment horizontal="center" vertical="top"/>
      <protection hidden="1"/>
    </xf>
    <xf numFmtId="0" fontId="10" fillId="7" borderId="21" xfId="0" applyNumberFormat="1" applyFont="1" applyFill="1" applyBorder="1" applyAlignment="1" applyProtection="1">
      <alignment horizontal="center" vertical="top"/>
      <protection hidden="1"/>
    </xf>
    <xf numFmtId="17" fontId="2" fillId="8" borderId="0" xfId="0" applyNumberFormat="1" applyFont="1" applyFill="1" applyBorder="1" applyAlignment="1" applyProtection="1">
      <alignment horizontal="center" vertical="top"/>
      <protection hidden="1"/>
    </xf>
    <xf numFmtId="0" fontId="8" fillId="8" borderId="0" xfId="0" applyNumberFormat="1" applyFont="1" applyFill="1" applyBorder="1" applyAlignment="1" applyProtection="1">
      <alignment horizontal="right" vertical="top"/>
      <protection hidden="1"/>
    </xf>
    <xf numFmtId="17" fontId="2" fillId="8" borderId="0" xfId="0" applyNumberFormat="1" applyFont="1" applyFill="1" applyBorder="1" applyAlignment="1" applyProtection="1">
      <alignment horizontal="centerContinuous" vertical="top"/>
      <protection hidden="1"/>
    </xf>
    <xf numFmtId="1" fontId="2" fillId="8" borderId="0" xfId="0" applyNumberFormat="1" applyFont="1" applyFill="1" applyBorder="1" applyAlignment="1" applyProtection="1">
      <alignment horizontal="center" vertical="top"/>
      <protection hidden="1"/>
    </xf>
    <xf numFmtId="17" fontId="8" fillId="8" borderId="0" xfId="0" applyNumberFormat="1" applyFont="1" applyFill="1" applyBorder="1" applyAlignment="1" applyProtection="1">
      <alignment horizontal="center" vertical="top"/>
      <protection hidden="1"/>
    </xf>
    <xf numFmtId="0" fontId="0" fillId="8" borderId="0" xfId="0" applyFill="1" applyBorder="1" applyAlignment="1" applyProtection="1">
      <alignment horizontal="center" vertical="top"/>
      <protection hidden="1"/>
    </xf>
    <xf numFmtId="165" fontId="8" fillId="8" borderId="0" xfId="1" applyNumberFormat="1" applyFont="1" applyFill="1" applyBorder="1" applyAlignment="1" applyProtection="1">
      <alignment horizontal="center"/>
      <protection hidden="1"/>
    </xf>
    <xf numFmtId="0" fontId="8" fillId="8" borderId="0" xfId="0" applyFont="1" applyFill="1" applyBorder="1" applyAlignment="1" applyProtection="1">
      <alignment horizontal="right"/>
      <protection hidden="1"/>
    </xf>
    <xf numFmtId="0" fontId="0" fillId="8" borderId="0" xfId="0" applyFill="1" applyBorder="1" applyAlignment="1" applyProtection="1">
      <alignment horizontal="center"/>
      <protection hidden="1"/>
    </xf>
    <xf numFmtId="0" fontId="27" fillId="8" borderId="0" xfId="2" applyFont="1" applyFill="1" applyBorder="1" applyAlignment="1" applyProtection="1">
      <alignment horizontal="center" vertical="center"/>
      <protection hidden="1"/>
    </xf>
    <xf numFmtId="1" fontId="8" fillId="8" borderId="0" xfId="0" applyNumberFormat="1" applyFont="1" applyFill="1" applyBorder="1" applyAlignment="1" applyProtection="1">
      <alignment horizontal="right" vertical="top"/>
      <protection hidden="1"/>
    </xf>
    <xf numFmtId="0" fontId="17" fillId="8" borderId="0" xfId="0" applyNumberFormat="1" applyFont="1" applyFill="1" applyBorder="1" applyAlignment="1" applyProtection="1">
      <alignment horizontal="centerContinuous" vertical="top"/>
      <protection hidden="1"/>
    </xf>
    <xf numFmtId="0" fontId="8" fillId="8" borderId="0" xfId="2" applyFont="1" applyFill="1" applyBorder="1" applyAlignment="1" applyProtection="1">
      <alignment horizontal="right" vertical="center"/>
      <protection hidden="1"/>
    </xf>
    <xf numFmtId="165" fontId="8" fillId="8" borderId="4" xfId="1" applyNumberFormat="1" applyFont="1" applyFill="1" applyBorder="1" applyAlignment="1" applyProtection="1">
      <alignment horizontal="center" vertical="center"/>
      <protection hidden="1"/>
    </xf>
    <xf numFmtId="0" fontId="2" fillId="8" borderId="0" xfId="0" applyNumberFormat="1" applyFont="1" applyFill="1" applyBorder="1" applyAlignment="1" applyProtection="1">
      <alignment vertical="top"/>
      <protection hidden="1"/>
    </xf>
    <xf numFmtId="165" fontId="8" fillId="8" borderId="0" xfId="1" applyNumberFormat="1" applyFont="1" applyFill="1" applyBorder="1" applyAlignment="1" applyProtection="1">
      <alignment vertical="top"/>
      <protection hidden="1"/>
    </xf>
    <xf numFmtId="0" fontId="10" fillId="8" borderId="0" xfId="0" applyNumberFormat="1" applyFont="1" applyFill="1" applyBorder="1" applyAlignment="1" applyProtection="1">
      <alignment horizontal="right" vertical="top"/>
      <protection hidden="1"/>
    </xf>
    <xf numFmtId="165" fontId="10" fillId="8" borderId="0" xfId="1" applyNumberFormat="1" applyFont="1" applyFill="1" applyBorder="1" applyAlignment="1" applyProtection="1">
      <alignment horizontal="centerContinuous" vertical="top"/>
      <protection hidden="1"/>
    </xf>
    <xf numFmtId="0" fontId="13" fillId="8" borderId="0" xfId="0" applyNumberFormat="1" applyFont="1" applyFill="1" applyBorder="1" applyAlignment="1" applyProtection="1">
      <alignment vertical="top"/>
      <protection hidden="1"/>
    </xf>
    <xf numFmtId="0" fontId="30" fillId="2" borderId="6" xfId="0" applyFont="1" applyFill="1" applyBorder="1" applyProtection="1">
      <protection hidden="1"/>
    </xf>
    <xf numFmtId="0" fontId="0" fillId="2" borderId="8" xfId="0" applyFill="1" applyBorder="1" applyProtection="1">
      <protection hidden="1"/>
    </xf>
    <xf numFmtId="43" fontId="0" fillId="2" borderId="12" xfId="0" applyNumberFormat="1" applyFill="1" applyBorder="1" applyProtection="1">
      <protection hidden="1"/>
    </xf>
    <xf numFmtId="0" fontId="0" fillId="2" borderId="7" xfId="0" applyFill="1" applyBorder="1" applyProtection="1">
      <protection hidden="1"/>
    </xf>
    <xf numFmtId="0" fontId="8" fillId="8" borderId="0" xfId="0" applyNumberFormat="1" applyFont="1" applyFill="1" applyBorder="1" applyAlignment="1" applyProtection="1">
      <alignment horizontal="left" vertical="top"/>
      <protection hidden="1"/>
    </xf>
    <xf numFmtId="17" fontId="8" fillId="8" borderId="0" xfId="0" applyNumberFormat="1" applyFont="1" applyFill="1" applyBorder="1" applyAlignment="1" applyProtection="1">
      <alignment horizontal="left" vertical="top"/>
      <protection hidden="1"/>
    </xf>
    <xf numFmtId="1" fontId="8" fillId="8" borderId="0" xfId="0" applyNumberFormat="1" applyFont="1" applyFill="1" applyBorder="1" applyAlignment="1" applyProtection="1">
      <alignment horizontal="center" vertical="top"/>
      <protection hidden="1"/>
    </xf>
    <xf numFmtId="1" fontId="8" fillId="8" borderId="0" xfId="0" applyNumberFormat="1" applyFont="1" applyFill="1" applyBorder="1" applyAlignment="1" applyProtection="1">
      <alignment horizontal="left" vertical="top"/>
      <protection hidden="1"/>
    </xf>
    <xf numFmtId="0" fontId="8" fillId="8" borderId="0" xfId="2" applyFont="1" applyFill="1" applyBorder="1" applyAlignment="1" applyProtection="1">
      <alignment horizontal="left" vertical="center"/>
      <protection hidden="1"/>
    </xf>
    <xf numFmtId="0" fontId="8" fillId="8" borderId="0" xfId="0" applyNumberFormat="1" applyFont="1" applyFill="1" applyBorder="1" applyAlignment="1" applyProtection="1">
      <alignment vertical="top"/>
      <protection hidden="1"/>
    </xf>
    <xf numFmtId="0" fontId="8" fillId="8" borderId="0" xfId="0" applyNumberFormat="1" applyFont="1" applyFill="1" applyBorder="1" applyAlignment="1" applyProtection="1">
      <alignment horizontal="center" vertical="top"/>
      <protection hidden="1"/>
    </xf>
    <xf numFmtId="17" fontId="30" fillId="7" borderId="5" xfId="0" applyNumberFormat="1" applyFont="1" applyFill="1" applyBorder="1" applyAlignment="1" applyProtection="1">
      <alignment vertical="center"/>
      <protection hidden="1"/>
    </xf>
    <xf numFmtId="0" fontId="43" fillId="2" borderId="0" xfId="0" applyFont="1" applyFill="1" applyBorder="1" applyAlignment="1" applyProtection="1">
      <alignment vertical="center" wrapText="1"/>
      <protection hidden="1"/>
    </xf>
    <xf numFmtId="0" fontId="10" fillId="2" borderId="21" xfId="0" applyNumberFormat="1" applyFont="1" applyFill="1" applyBorder="1" applyAlignment="1" applyProtection="1">
      <alignment horizontal="center" vertical="top"/>
      <protection hidden="1"/>
    </xf>
    <xf numFmtId="0" fontId="14" fillId="8" borderId="0" xfId="0" applyFont="1" applyFill="1" applyBorder="1" applyAlignment="1" applyProtection="1">
      <alignment horizontal="center"/>
      <protection hidden="1"/>
    </xf>
    <xf numFmtId="1" fontId="2" fillId="8" borderId="5" xfId="0" applyNumberFormat="1" applyFont="1" applyFill="1" applyBorder="1" applyAlignment="1" applyProtection="1">
      <alignment horizontal="center" vertical="center" wrapText="1"/>
      <protection hidden="1"/>
    </xf>
    <xf numFmtId="1" fontId="14" fillId="8" borderId="0" xfId="0" applyNumberFormat="1" applyFont="1" applyFill="1" applyBorder="1" applyAlignment="1" applyProtection="1">
      <alignment horizontal="center"/>
      <protection hidden="1"/>
    </xf>
    <xf numFmtId="0" fontId="0" fillId="8" borderId="0" xfId="0" applyFill="1" applyBorder="1" applyAlignment="1" applyProtection="1">
      <protection hidden="1"/>
    </xf>
    <xf numFmtId="165" fontId="8" fillId="7" borderId="4" xfId="1" applyNumberFormat="1" applyFont="1" applyFill="1" applyBorder="1" applyAlignment="1" applyProtection="1">
      <alignment horizontal="centerContinuous" vertical="top"/>
      <protection hidden="1"/>
    </xf>
    <xf numFmtId="165" fontId="8" fillId="7" borderId="4" xfId="1" applyNumberFormat="1" applyFont="1" applyFill="1" applyBorder="1" applyAlignment="1" applyProtection="1">
      <alignment horizontal="center"/>
      <protection hidden="1"/>
    </xf>
    <xf numFmtId="165" fontId="8" fillId="7" borderId="4" xfId="1" applyNumberFormat="1" applyFont="1" applyFill="1" applyBorder="1" applyAlignment="1" applyProtection="1">
      <alignment horizontal="center" vertical="center"/>
      <protection hidden="1"/>
    </xf>
    <xf numFmtId="17" fontId="2" fillId="2" borderId="0" xfId="0" applyNumberFormat="1" applyFont="1" applyFill="1" applyBorder="1" applyAlignment="1" applyProtection="1">
      <alignment horizontal="center" vertical="top"/>
      <protection hidden="1"/>
    </xf>
    <xf numFmtId="13" fontId="8" fillId="2" borderId="4" xfId="0" applyNumberFormat="1" applyFont="1" applyFill="1" applyBorder="1" applyAlignment="1" applyProtection="1">
      <alignment horizontal="right"/>
      <protection hidden="1"/>
    </xf>
    <xf numFmtId="0" fontId="23" fillId="2" borderId="0" xfId="0" applyFont="1" applyFill="1" applyAlignment="1" applyProtection="1">
      <protection hidden="1"/>
    </xf>
    <xf numFmtId="0" fontId="0" fillId="2" borderId="12" xfId="0" applyNumberFormat="1" applyFill="1" applyBorder="1" applyProtection="1">
      <protection hidden="1"/>
    </xf>
    <xf numFmtId="1" fontId="8" fillId="2" borderId="4" xfId="0" applyNumberFormat="1" applyFont="1" applyFill="1" applyBorder="1" applyAlignment="1" applyProtection="1">
      <alignment vertical="top"/>
      <protection hidden="1"/>
    </xf>
    <xf numFmtId="0" fontId="30" fillId="2" borderId="8" xfId="0" applyFont="1" applyFill="1" applyBorder="1" applyProtection="1">
      <protection hidden="1"/>
    </xf>
    <xf numFmtId="0" fontId="50" fillId="9" borderId="6" xfId="0" applyFont="1" applyFill="1" applyBorder="1" applyAlignment="1" applyProtection="1">
      <protection hidden="1"/>
    </xf>
    <xf numFmtId="0" fontId="50" fillId="9" borderId="7" xfId="0" applyFont="1" applyFill="1" applyBorder="1" applyAlignment="1" applyProtection="1">
      <protection hidden="1"/>
    </xf>
    <xf numFmtId="0" fontId="50" fillId="9" borderId="8" xfId="0" applyFont="1" applyFill="1" applyBorder="1" applyAlignment="1" applyProtection="1">
      <protection hidden="1"/>
    </xf>
    <xf numFmtId="0" fontId="0" fillId="2" borderId="0" xfId="0" applyFill="1" applyAlignment="1" applyProtection="1">
      <protection hidden="1"/>
    </xf>
    <xf numFmtId="0" fontId="0" fillId="2" borderId="0" xfId="0" applyFill="1" applyAlignment="1" applyProtection="1">
      <alignment vertical="center" wrapText="1"/>
      <protection hidden="1"/>
    </xf>
    <xf numFmtId="0" fontId="0" fillId="7" borderId="0" xfId="0" applyFill="1" applyProtection="1">
      <protection hidden="1"/>
    </xf>
    <xf numFmtId="0" fontId="0" fillId="7" borderId="0" xfId="0" applyFill="1" applyBorder="1" applyProtection="1">
      <protection hidden="1"/>
    </xf>
    <xf numFmtId="0" fontId="56" fillId="7" borderId="0" xfId="0" applyNumberFormat="1" applyFont="1" applyFill="1" applyBorder="1" applyAlignment="1" applyProtection="1">
      <alignment horizontal="center" vertical="center"/>
      <protection hidden="1"/>
    </xf>
    <xf numFmtId="0" fontId="18" fillId="2" borderId="12" xfId="0" applyFont="1" applyFill="1" applyBorder="1" applyAlignment="1" applyProtection="1">
      <alignment horizontal="right"/>
      <protection hidden="1"/>
    </xf>
    <xf numFmtId="0" fontId="35" fillId="7" borderId="0" xfId="2" applyNumberFormat="1" applyFont="1" applyFill="1" applyBorder="1" applyAlignment="1" applyProtection="1">
      <alignment vertical="top"/>
      <protection hidden="1"/>
    </xf>
    <xf numFmtId="0" fontId="35" fillId="7" borderId="0" xfId="2" applyFont="1" applyFill="1" applyAlignment="1" applyProtection="1">
      <alignment vertical="top"/>
      <protection hidden="1"/>
    </xf>
    <xf numFmtId="0" fontId="50" fillId="9" borderId="24" xfId="0" applyNumberFormat="1" applyFont="1" applyFill="1" applyBorder="1" applyAlignment="1" applyProtection="1">
      <alignment vertical="center"/>
      <protection hidden="1"/>
    </xf>
    <xf numFmtId="0" fontId="50" fillId="9" borderId="25" xfId="0" applyNumberFormat="1" applyFont="1" applyFill="1" applyBorder="1" applyAlignment="1" applyProtection="1">
      <alignment vertical="center"/>
      <protection hidden="1"/>
    </xf>
    <xf numFmtId="0" fontId="51" fillId="9" borderId="25" xfId="0" applyFont="1" applyFill="1" applyBorder="1" applyAlignment="1" applyProtection="1">
      <alignment vertical="center"/>
      <protection hidden="1"/>
    </xf>
    <xf numFmtId="0" fontId="51" fillId="9" borderId="26" xfId="0" applyFont="1" applyFill="1" applyBorder="1" applyAlignment="1" applyProtection="1">
      <alignment vertical="center"/>
      <protection hidden="1"/>
    </xf>
    <xf numFmtId="0" fontId="50" fillId="9" borderId="25" xfId="0" applyNumberFormat="1" applyFont="1" applyFill="1" applyBorder="1" applyAlignment="1" applyProtection="1">
      <alignment vertical="top"/>
      <protection hidden="1"/>
    </xf>
    <xf numFmtId="0" fontId="35" fillId="7" borderId="13" xfId="2" applyNumberFormat="1" applyFont="1" applyFill="1" applyBorder="1" applyAlignment="1" applyProtection="1">
      <alignment vertical="top"/>
      <protection hidden="1"/>
    </xf>
    <xf numFmtId="0" fontId="35" fillId="7" borderId="13" xfId="2" applyFont="1" applyFill="1" applyBorder="1" applyAlignment="1" applyProtection="1">
      <alignment vertical="top"/>
      <protection hidden="1"/>
    </xf>
    <xf numFmtId="0" fontId="23" fillId="7" borderId="0" xfId="0" applyFont="1" applyFill="1" applyAlignment="1" applyProtection="1">
      <protection hidden="1"/>
    </xf>
    <xf numFmtId="0" fontId="25" fillId="7" borderId="0" xfId="0" applyFont="1" applyFill="1" applyAlignment="1" applyProtection="1">
      <protection hidden="1"/>
    </xf>
    <xf numFmtId="0" fontId="12" fillId="7" borderId="0" xfId="0" applyFont="1" applyFill="1" applyBorder="1" applyAlignment="1" applyProtection="1">
      <alignment horizontal="center"/>
      <protection hidden="1"/>
    </xf>
    <xf numFmtId="0" fontId="35" fillId="7" borderId="0" xfId="2" applyFont="1" applyFill="1" applyBorder="1" applyAlignment="1" applyProtection="1">
      <alignment vertical="top"/>
      <protection hidden="1"/>
    </xf>
    <xf numFmtId="0" fontId="8" fillId="7" borderId="0" xfId="0" applyNumberFormat="1" applyFont="1" applyFill="1" applyBorder="1" applyAlignment="1" applyProtection="1">
      <alignment horizontal="right" vertical="top"/>
      <protection hidden="1"/>
    </xf>
    <xf numFmtId="0" fontId="8" fillId="7" borderId="0" xfId="0" applyNumberFormat="1" applyFont="1" applyFill="1" applyBorder="1" applyAlignment="1" applyProtection="1">
      <alignment vertical="top"/>
      <protection hidden="1"/>
    </xf>
    <xf numFmtId="0" fontId="8" fillId="7" borderId="0" xfId="0" applyFont="1" applyFill="1" applyBorder="1" applyProtection="1">
      <protection hidden="1"/>
    </xf>
    <xf numFmtId="0" fontId="23" fillId="7" borderId="0" xfId="0" applyNumberFormat="1" applyFont="1" applyFill="1" applyBorder="1" applyAlignment="1" applyProtection="1">
      <alignment horizontal="right" vertical="top"/>
      <protection hidden="1"/>
    </xf>
    <xf numFmtId="0" fontId="12" fillId="7" borderId="0" xfId="0" applyFont="1" applyFill="1" applyBorder="1" applyProtection="1">
      <protection hidden="1"/>
    </xf>
    <xf numFmtId="0" fontId="8" fillId="7" borderId="1" xfId="0" applyNumberFormat="1" applyFont="1" applyFill="1" applyBorder="1" applyAlignment="1" applyProtection="1">
      <alignment vertical="top"/>
      <protection hidden="1"/>
    </xf>
    <xf numFmtId="0" fontId="0" fillId="7" borderId="5" xfId="0" applyFill="1" applyBorder="1" applyProtection="1">
      <protection hidden="1"/>
    </xf>
    <xf numFmtId="0" fontId="12" fillId="7" borderId="5" xfId="0" applyFont="1" applyFill="1" applyBorder="1" applyAlignment="1" applyProtection="1">
      <alignment horizontal="center"/>
      <protection hidden="1"/>
    </xf>
    <xf numFmtId="0" fontId="8" fillId="7" borderId="20" xfId="0" applyNumberFormat="1" applyFont="1" applyFill="1" applyBorder="1" applyAlignment="1" applyProtection="1">
      <alignment vertical="top"/>
      <protection hidden="1"/>
    </xf>
    <xf numFmtId="0" fontId="61" fillId="7" borderId="2" xfId="0" applyNumberFormat="1" applyFont="1" applyFill="1" applyBorder="1" applyAlignment="1" applyProtection="1">
      <alignment horizontal="right" vertical="top"/>
      <protection hidden="1"/>
    </xf>
    <xf numFmtId="0" fontId="0" fillId="7" borderId="2" xfId="0" applyFill="1" applyBorder="1" applyProtection="1">
      <protection hidden="1"/>
    </xf>
    <xf numFmtId="0" fontId="8" fillId="7" borderId="2" xfId="0" applyNumberFormat="1" applyFont="1" applyFill="1" applyBorder="1" applyAlignment="1" applyProtection="1">
      <alignment vertical="top"/>
      <protection hidden="1"/>
    </xf>
    <xf numFmtId="0" fontId="12" fillId="7" borderId="2" xfId="0" applyFont="1" applyFill="1" applyBorder="1" applyAlignment="1" applyProtection="1">
      <alignment horizontal="center"/>
      <protection hidden="1"/>
    </xf>
    <xf numFmtId="0" fontId="12" fillId="7" borderId="21" xfId="0" applyFont="1" applyFill="1" applyBorder="1" applyAlignment="1" applyProtection="1">
      <alignment horizontal="center"/>
      <protection hidden="1"/>
    </xf>
    <xf numFmtId="0" fontId="59" fillId="7" borderId="15" xfId="0" applyNumberFormat="1" applyFont="1" applyFill="1" applyBorder="1" applyAlignment="1" applyProtection="1">
      <alignment vertical="top"/>
      <protection hidden="1"/>
    </xf>
    <xf numFmtId="0" fontId="63" fillId="7" borderId="0" xfId="0" applyNumberFormat="1" applyFont="1" applyFill="1" applyBorder="1" applyAlignment="1" applyProtection="1">
      <alignment horizontal="right" vertical="top"/>
      <protection hidden="1"/>
    </xf>
    <xf numFmtId="0" fontId="25" fillId="2" borderId="0" xfId="0" applyFont="1" applyFill="1" applyAlignment="1" applyProtection="1">
      <protection hidden="1"/>
    </xf>
    <xf numFmtId="0" fontId="47" fillId="2" borderId="0" xfId="0" applyNumberFormat="1" applyFont="1" applyFill="1" applyBorder="1" applyAlignment="1" applyProtection="1">
      <alignment vertical="top"/>
      <protection hidden="1"/>
    </xf>
    <xf numFmtId="0" fontId="47" fillId="2" borderId="5" xfId="0" applyNumberFormat="1" applyFont="1" applyFill="1" applyBorder="1" applyAlignment="1" applyProtection="1">
      <alignment vertical="top"/>
      <protection hidden="1"/>
    </xf>
    <xf numFmtId="0" fontId="43" fillId="7" borderId="0" xfId="0" applyFont="1" applyFill="1" applyBorder="1" applyAlignment="1" applyProtection="1">
      <alignment vertical="center" wrapText="1"/>
      <protection hidden="1"/>
    </xf>
    <xf numFmtId="0" fontId="30" fillId="7" borderId="0" xfId="0" applyFont="1" applyFill="1" applyProtection="1">
      <protection hidden="1"/>
    </xf>
    <xf numFmtId="9" fontId="65" fillId="2" borderId="0" xfId="51" applyFont="1" applyFill="1" applyBorder="1" applyAlignment="1" applyProtection="1">
      <alignment horizontal="center" vertical="center"/>
      <protection hidden="1"/>
    </xf>
    <xf numFmtId="0" fontId="65" fillId="2" borderId="0" xfId="0" applyNumberFormat="1" applyFont="1" applyFill="1" applyBorder="1" applyAlignment="1" applyProtection="1">
      <alignment vertical="top"/>
      <protection hidden="1"/>
    </xf>
    <xf numFmtId="0" fontId="67" fillId="2" borderId="0" xfId="0" applyFont="1" applyFill="1" applyProtection="1">
      <protection hidden="1"/>
    </xf>
    <xf numFmtId="164" fontId="65" fillId="2" borderId="0" xfId="0" applyNumberFormat="1" applyFont="1" applyFill="1" applyBorder="1" applyAlignment="1" applyProtection="1">
      <alignment horizontal="right" vertical="top"/>
      <protection hidden="1"/>
    </xf>
    <xf numFmtId="164" fontId="0" fillId="2" borderId="0" xfId="0" applyNumberFormat="1" applyFill="1" applyProtection="1">
      <protection hidden="1"/>
    </xf>
    <xf numFmtId="3" fontId="8" fillId="2" borderId="0" xfId="0" applyNumberFormat="1" applyFont="1" applyFill="1" applyBorder="1" applyProtection="1">
      <protection hidden="1"/>
    </xf>
    <xf numFmtId="167" fontId="8" fillId="2" borderId="4" xfId="0" applyNumberFormat="1" applyFont="1" applyFill="1" applyBorder="1" applyProtection="1">
      <protection hidden="1"/>
    </xf>
    <xf numFmtId="0" fontId="42" fillId="2" borderId="0" xfId="0" applyFont="1" applyFill="1" applyBorder="1" applyAlignment="1" applyProtection="1">
      <alignment horizontal="center" vertical="center" wrapText="1"/>
      <protection hidden="1"/>
    </xf>
    <xf numFmtId="9" fontId="8" fillId="2" borderId="4" xfId="51" applyFont="1" applyFill="1" applyBorder="1" applyProtection="1">
      <protection hidden="1"/>
    </xf>
    <xf numFmtId="0" fontId="23" fillId="2" borderId="0" xfId="0" applyFont="1" applyFill="1" applyAlignment="1" applyProtection="1">
      <alignment horizontal="center"/>
      <protection hidden="1"/>
    </xf>
    <xf numFmtId="0" fontId="30" fillId="2" borderId="0" xfId="0" applyFont="1" applyFill="1" applyAlignment="1" applyProtection="1">
      <alignment horizontal="center"/>
      <protection hidden="1"/>
    </xf>
    <xf numFmtId="0" fontId="0" fillId="2" borderId="0" xfId="0" applyFill="1" applyAlignment="1" applyProtection="1">
      <alignment horizontal="center"/>
      <protection hidden="1"/>
    </xf>
    <xf numFmtId="0" fontId="23" fillId="2" borderId="0" xfId="0" applyFont="1" applyFill="1" applyBorder="1" applyAlignment="1" applyProtection="1">
      <alignment horizontal="center"/>
      <protection hidden="1"/>
    </xf>
    <xf numFmtId="0" fontId="1" fillId="2" borderId="0" xfId="0" applyFont="1" applyFill="1" applyBorder="1" applyProtection="1">
      <protection hidden="1"/>
    </xf>
    <xf numFmtId="0" fontId="1" fillId="2" borderId="0" xfId="0" applyNumberFormat="1" applyFont="1" applyFill="1" applyBorder="1" applyAlignment="1" applyProtection="1">
      <alignment vertical="top"/>
      <protection hidden="1"/>
    </xf>
    <xf numFmtId="0" fontId="30" fillId="2" borderId="0" xfId="0" applyFont="1" applyFill="1" applyAlignment="1" applyProtection="1">
      <alignment horizontal="right" vertical="top"/>
      <protection hidden="1"/>
    </xf>
    <xf numFmtId="0" fontId="34" fillId="2" borderId="0" xfId="0" applyFont="1" applyFill="1" applyProtection="1">
      <protection hidden="1"/>
    </xf>
    <xf numFmtId="0" fontId="2" fillId="2" borderId="0" xfId="0" applyNumberFormat="1" applyFont="1" applyFill="1" applyAlignment="1" applyProtection="1">
      <alignment vertical="top"/>
      <protection hidden="1"/>
    </xf>
    <xf numFmtId="0" fontId="0" fillId="2" borderId="0" xfId="0" applyFill="1" applyBorder="1" applyAlignment="1" applyProtection="1">
      <alignment horizontal="center" wrapText="1"/>
      <protection hidden="1"/>
    </xf>
    <xf numFmtId="0" fontId="17" fillId="2" borderId="0" xfId="0" applyFont="1" applyFill="1" applyAlignment="1" applyProtection="1">
      <alignment vertical="center"/>
      <protection hidden="1"/>
    </xf>
    <xf numFmtId="0" fontId="22" fillId="2" borderId="0" xfId="0" applyFont="1" applyFill="1" applyAlignment="1" applyProtection="1">
      <alignment vertical="center"/>
      <protection hidden="1"/>
    </xf>
    <xf numFmtId="0" fontId="33" fillId="2" borderId="0" xfId="0" applyFont="1" applyFill="1" applyBorder="1" applyAlignment="1" applyProtection="1">
      <alignment horizontal="center" wrapText="1"/>
      <protection hidden="1"/>
    </xf>
    <xf numFmtId="0" fontId="1" fillId="2" borderId="0" xfId="0" applyNumberFormat="1" applyFont="1" applyFill="1" applyAlignment="1" applyProtection="1">
      <alignment vertical="top"/>
      <protection hidden="1"/>
    </xf>
    <xf numFmtId="0" fontId="8" fillId="2" borderId="0" xfId="0" applyNumberFormat="1" applyFont="1" applyFill="1" applyAlignment="1" applyProtection="1">
      <alignment vertical="top"/>
      <protection hidden="1"/>
    </xf>
    <xf numFmtId="0" fontId="0" fillId="2" borderId="0" xfId="0" applyFill="1" applyAlignment="1" applyProtection="1">
      <alignment wrapText="1"/>
      <protection hidden="1"/>
    </xf>
    <xf numFmtId="0" fontId="39" fillId="2" borderId="0" xfId="0" applyFont="1" applyFill="1" applyAlignment="1" applyProtection="1">
      <alignment horizontal="center" vertical="center" wrapText="1"/>
      <protection hidden="1"/>
    </xf>
    <xf numFmtId="0" fontId="10" fillId="2" borderId="0" xfId="0" applyFont="1" applyFill="1" applyAlignment="1" applyProtection="1">
      <alignment wrapText="1"/>
      <protection hidden="1"/>
    </xf>
    <xf numFmtId="0" fontId="3" fillId="2" borderId="0" xfId="0" applyNumberFormat="1" applyFont="1" applyFill="1" applyBorder="1" applyAlignment="1" applyProtection="1">
      <alignment horizontal="centerContinuous" vertical="top"/>
      <protection hidden="1"/>
    </xf>
    <xf numFmtId="0" fontId="4" fillId="2" borderId="0" xfId="0" applyNumberFormat="1" applyFont="1" applyFill="1" applyBorder="1" applyAlignment="1" applyProtection="1">
      <alignment vertical="top"/>
      <protection hidden="1"/>
    </xf>
    <xf numFmtId="0" fontId="11" fillId="2" borderId="0" xfId="0" applyNumberFormat="1" applyFont="1" applyFill="1" applyBorder="1" applyAlignment="1" applyProtection="1">
      <alignment vertical="top"/>
      <protection hidden="1"/>
    </xf>
    <xf numFmtId="2" fontId="8" fillId="2" borderId="0" xfId="0" applyNumberFormat="1" applyFont="1" applyFill="1" applyBorder="1" applyAlignment="1" applyProtection="1">
      <alignment vertical="top"/>
      <protection hidden="1"/>
    </xf>
    <xf numFmtId="1" fontId="8" fillId="2" borderId="0" xfId="0" applyNumberFormat="1" applyFont="1" applyFill="1" applyBorder="1" applyAlignment="1" applyProtection="1">
      <alignment vertical="top"/>
      <protection hidden="1"/>
    </xf>
    <xf numFmtId="1" fontId="30" fillId="0" borderId="12" xfId="20" applyNumberFormat="1" applyFill="1" applyBorder="1" applyAlignment="1" applyProtection="1">
      <alignment horizontal="center"/>
      <protection hidden="1"/>
    </xf>
    <xf numFmtId="1" fontId="30" fillId="0" borderId="12" xfId="21" applyNumberFormat="1" applyFill="1" applyBorder="1" applyAlignment="1" applyProtection="1">
      <alignment horizontal="center"/>
      <protection hidden="1"/>
    </xf>
    <xf numFmtId="1" fontId="30" fillId="0" borderId="12" xfId="22" applyNumberFormat="1" applyFill="1" applyBorder="1" applyAlignment="1" applyProtection="1">
      <alignment horizontal="center"/>
      <protection hidden="1"/>
    </xf>
    <xf numFmtId="1" fontId="30" fillId="0" borderId="12" xfId="23" applyNumberFormat="1" applyFill="1" applyBorder="1" applyAlignment="1" applyProtection="1">
      <alignment horizontal="center"/>
      <protection hidden="1"/>
    </xf>
    <xf numFmtId="1" fontId="30" fillId="6" borderId="12" xfId="50" applyNumberFormat="1" applyFont="1" applyFill="1" applyBorder="1" applyAlignment="1" applyProtection="1">
      <alignment horizontal="right"/>
      <protection hidden="1"/>
    </xf>
    <xf numFmtId="1" fontId="30" fillId="6" borderId="12" xfId="27" applyNumberFormat="1" applyFont="1" applyFill="1" applyBorder="1" applyAlignment="1" applyProtection="1">
      <alignment horizontal="right"/>
      <protection hidden="1"/>
    </xf>
    <xf numFmtId="1" fontId="30" fillId="6" borderId="12" xfId="28" applyNumberFormat="1" applyFont="1" applyFill="1" applyBorder="1" applyAlignment="1" applyProtection="1">
      <alignment horizontal="right"/>
      <protection hidden="1"/>
    </xf>
    <xf numFmtId="1" fontId="30" fillId="6" borderId="12" xfId="11" applyNumberFormat="1" applyFont="1" applyFill="1" applyBorder="1" applyAlignment="1" applyProtection="1">
      <alignment horizontal="right"/>
      <protection hidden="1"/>
    </xf>
    <xf numFmtId="1" fontId="30" fillId="6" borderId="12" xfId="12" applyNumberFormat="1" applyFont="1" applyFill="1" applyBorder="1" applyAlignment="1" applyProtection="1">
      <alignment horizontal="right"/>
      <protection hidden="1"/>
    </xf>
    <xf numFmtId="1" fontId="30" fillId="0" borderId="12" xfId="27" applyNumberFormat="1" applyFill="1" applyBorder="1" applyAlignment="1" applyProtection="1">
      <alignment horizontal="center"/>
      <protection hidden="1"/>
    </xf>
    <xf numFmtId="1" fontId="30" fillId="0" borderId="12" xfId="28" applyNumberFormat="1" applyFill="1" applyBorder="1" applyAlignment="1" applyProtection="1">
      <alignment horizontal="center"/>
      <protection hidden="1"/>
    </xf>
    <xf numFmtId="1" fontId="30" fillId="0" borderId="12" xfId="11" applyNumberFormat="1" applyFill="1" applyBorder="1" applyAlignment="1" applyProtection="1">
      <alignment horizontal="center"/>
      <protection hidden="1"/>
    </xf>
    <xf numFmtId="1" fontId="30" fillId="0" borderId="12" xfId="12" applyNumberFormat="1" applyFill="1" applyBorder="1" applyAlignment="1" applyProtection="1">
      <alignment horizontal="center"/>
      <protection hidden="1"/>
    </xf>
    <xf numFmtId="1" fontId="30" fillId="0" borderId="12" xfId="13" applyNumberFormat="1" applyFill="1" applyBorder="1" applyAlignment="1" applyProtection="1">
      <alignment horizontal="center"/>
      <protection hidden="1"/>
    </xf>
    <xf numFmtId="1" fontId="30" fillId="0" borderId="12" xfId="15" applyNumberFormat="1" applyFill="1" applyBorder="1" applyAlignment="1" applyProtection="1">
      <alignment horizontal="center"/>
      <protection hidden="1"/>
    </xf>
    <xf numFmtId="1" fontId="30" fillId="6" borderId="12" xfId="13" applyNumberFormat="1" applyFont="1" applyFill="1" applyBorder="1" applyAlignment="1" applyProtection="1">
      <alignment horizontal="right"/>
      <protection hidden="1"/>
    </xf>
    <xf numFmtId="1" fontId="30" fillId="6" borderId="12" xfId="15" applyNumberFormat="1" applyFont="1" applyFill="1" applyBorder="1" applyAlignment="1" applyProtection="1">
      <alignment horizontal="right"/>
      <protection hidden="1"/>
    </xf>
    <xf numFmtId="1" fontId="30" fillId="6" borderId="12" xfId="13" applyNumberFormat="1" applyFill="1" applyBorder="1" applyAlignment="1" applyProtection="1">
      <alignment horizontal="center"/>
      <protection hidden="1"/>
    </xf>
    <xf numFmtId="1" fontId="30" fillId="6" borderId="12" xfId="15" applyNumberFormat="1" applyFill="1" applyBorder="1" applyAlignment="1" applyProtection="1">
      <alignment horizontal="center"/>
      <protection hidden="1"/>
    </xf>
    <xf numFmtId="1" fontId="30" fillId="6" borderId="12" xfId="16" applyNumberFormat="1" applyFill="1" applyBorder="1" applyAlignment="1" applyProtection="1">
      <alignment horizontal="center"/>
      <protection hidden="1"/>
    </xf>
    <xf numFmtId="1" fontId="30" fillId="6" borderId="12" xfId="17" applyNumberFormat="1" applyFill="1" applyBorder="1" applyAlignment="1" applyProtection="1">
      <alignment horizontal="center"/>
      <protection hidden="1"/>
    </xf>
    <xf numFmtId="1" fontId="30" fillId="0" borderId="12" xfId="16" applyNumberFormat="1" applyFill="1" applyBorder="1" applyAlignment="1" applyProtection="1">
      <alignment horizontal="center"/>
      <protection hidden="1"/>
    </xf>
    <xf numFmtId="1" fontId="30" fillId="0" borderId="12" xfId="17" applyNumberFormat="1" applyFill="1" applyBorder="1" applyAlignment="1" applyProtection="1">
      <alignment horizontal="center"/>
      <protection hidden="1"/>
    </xf>
    <xf numFmtId="1" fontId="30" fillId="6" borderId="12" xfId="18" applyNumberFormat="1" applyFill="1" applyBorder="1" applyAlignment="1" applyProtection="1">
      <alignment horizontal="center"/>
      <protection hidden="1"/>
    </xf>
    <xf numFmtId="1" fontId="30" fillId="6" borderId="12" xfId="19" applyNumberFormat="1" applyFill="1" applyBorder="1" applyAlignment="1" applyProtection="1">
      <alignment horizontal="center"/>
      <protection hidden="1"/>
    </xf>
    <xf numFmtId="1" fontId="30" fillId="0" borderId="12" xfId="18" applyNumberFormat="1" applyFill="1" applyBorder="1" applyAlignment="1" applyProtection="1">
      <alignment horizontal="center"/>
      <protection hidden="1"/>
    </xf>
    <xf numFmtId="1" fontId="30" fillId="0" borderId="12" xfId="19" applyNumberFormat="1" applyFill="1" applyBorder="1" applyAlignment="1" applyProtection="1">
      <alignment horizontal="center"/>
      <protection hidden="1"/>
    </xf>
    <xf numFmtId="1" fontId="30" fillId="6" borderId="12" xfId="20" applyNumberFormat="1" applyFill="1" applyBorder="1" applyAlignment="1" applyProtection="1">
      <alignment horizontal="center"/>
      <protection hidden="1"/>
    </xf>
    <xf numFmtId="1" fontId="30" fillId="6" borderId="12" xfId="21" applyNumberFormat="1" applyFill="1" applyBorder="1" applyAlignment="1" applyProtection="1">
      <alignment horizontal="center"/>
      <protection hidden="1"/>
    </xf>
    <xf numFmtId="1" fontId="30" fillId="6" borderId="12" xfId="22" applyNumberFormat="1" applyFill="1" applyBorder="1" applyAlignment="1" applyProtection="1">
      <alignment horizontal="center"/>
      <protection hidden="1"/>
    </xf>
    <xf numFmtId="1" fontId="30" fillId="6" borderId="12" xfId="23" applyNumberFormat="1" applyFill="1" applyBorder="1" applyAlignment="1" applyProtection="1">
      <alignment horizontal="center"/>
      <protection hidden="1"/>
    </xf>
    <xf numFmtId="0" fontId="32" fillId="2" borderId="0" xfId="0" applyFont="1" applyFill="1" applyBorder="1" applyAlignment="1" applyProtection="1">
      <alignment vertical="center" wrapText="1"/>
      <protection hidden="1"/>
    </xf>
    <xf numFmtId="0" fontId="32" fillId="0" borderId="0" xfId="0" applyFont="1" applyAlignment="1" applyProtection="1">
      <alignment vertical="center" wrapText="1"/>
      <protection hidden="1"/>
    </xf>
    <xf numFmtId="0" fontId="0" fillId="0" borderId="0" xfId="0" applyAlignment="1" applyProtection="1">
      <alignment vertical="center" wrapText="1"/>
      <protection hidden="1"/>
    </xf>
    <xf numFmtId="0" fontId="0" fillId="7" borderId="0" xfId="0" applyFill="1" applyAlignment="1" applyProtection="1">
      <alignment vertical="center" wrapText="1"/>
      <protection hidden="1"/>
    </xf>
    <xf numFmtId="0" fontId="14" fillId="7" borderId="0" xfId="0" applyFont="1" applyFill="1" applyBorder="1" applyAlignment="1" applyProtection="1">
      <alignment vertical="top" wrapText="1"/>
      <protection hidden="1"/>
    </xf>
    <xf numFmtId="2" fontId="9" fillId="8" borderId="4" xfId="1" applyNumberFormat="1" applyFont="1" applyFill="1" applyBorder="1" applyAlignment="1" applyProtection="1">
      <alignment vertical="top"/>
      <protection locked="0"/>
    </xf>
    <xf numFmtId="13" fontId="8" fillId="8" borderId="4" xfId="0" applyNumberFormat="1" applyFont="1" applyFill="1" applyBorder="1" applyProtection="1">
      <protection locked="0"/>
    </xf>
    <xf numFmtId="0" fontId="9" fillId="8" borderId="4" xfId="0" applyNumberFormat="1" applyFont="1" applyFill="1" applyBorder="1" applyAlignment="1" applyProtection="1">
      <alignment vertical="top"/>
      <protection locked="0"/>
    </xf>
    <xf numFmtId="164" fontId="8" fillId="8" borderId="4" xfId="0" applyNumberFormat="1" applyFont="1" applyFill="1" applyBorder="1" applyProtection="1">
      <protection locked="0"/>
    </xf>
    <xf numFmtId="0" fontId="0" fillId="7" borderId="0" xfId="0" applyFill="1" applyAlignment="1" applyProtection="1">
      <alignment horizontal="center"/>
      <protection hidden="1"/>
    </xf>
    <xf numFmtId="0" fontId="0" fillId="0" borderId="0" xfId="0" applyProtection="1">
      <protection hidden="1"/>
    </xf>
    <xf numFmtId="0" fontId="0" fillId="0" borderId="0" xfId="0" applyAlignment="1" applyProtection="1">
      <alignment horizontal="center" vertical="center"/>
      <protection hidden="1"/>
    </xf>
    <xf numFmtId="0" fontId="0" fillId="2" borderId="0" xfId="0" applyFill="1" applyAlignment="1" applyProtection="1">
      <alignment horizontal="center" vertical="center"/>
      <protection hidden="1"/>
    </xf>
    <xf numFmtId="0" fontId="38" fillId="0" borderId="0" xfId="2" applyFont="1" applyAlignment="1" applyProtection="1">
      <alignment vertical="top" wrapText="1"/>
      <protection hidden="1"/>
    </xf>
    <xf numFmtId="0" fontId="38" fillId="7" borderId="0" xfId="2" applyFont="1" applyFill="1" applyAlignment="1" applyProtection="1">
      <alignment vertical="top" wrapText="1"/>
      <protection hidden="1"/>
    </xf>
    <xf numFmtId="0" fontId="8" fillId="7" borderId="0" xfId="0" applyFont="1" applyFill="1" applyAlignment="1" applyProtection="1">
      <alignment vertical="top" wrapText="1"/>
      <protection hidden="1"/>
    </xf>
    <xf numFmtId="0" fontId="8" fillId="7" borderId="0" xfId="0" applyFont="1" applyFill="1" applyBorder="1" applyAlignment="1" applyProtection="1">
      <alignment horizontal="left" vertical="top" wrapText="1"/>
      <protection hidden="1"/>
    </xf>
    <xf numFmtId="0" fontId="66" fillId="7" borderId="0" xfId="0" applyFont="1" applyFill="1" applyBorder="1" applyAlignment="1" applyProtection="1">
      <alignment vertical="top" wrapText="1"/>
      <protection hidden="1"/>
    </xf>
    <xf numFmtId="0" fontId="43" fillId="0" borderId="0" xfId="0" applyFont="1" applyBorder="1" applyAlignment="1" applyProtection="1">
      <alignment vertical="center" wrapText="1"/>
      <protection hidden="1"/>
    </xf>
    <xf numFmtId="0" fontId="43" fillId="7" borderId="0" xfId="0" applyFont="1" applyFill="1" applyAlignment="1" applyProtection="1">
      <alignment vertical="center" wrapText="1"/>
      <protection hidden="1"/>
    </xf>
    <xf numFmtId="0" fontId="43" fillId="0" borderId="0" xfId="0" applyFont="1" applyAlignment="1" applyProtection="1">
      <alignment vertical="center" wrapText="1"/>
      <protection hidden="1"/>
    </xf>
    <xf numFmtId="13" fontId="8" fillId="8" borderId="4" xfId="0" applyNumberFormat="1" applyFont="1" applyFill="1" applyBorder="1" applyAlignment="1" applyProtection="1">
      <alignment horizontal="centerContinuous" vertical="top"/>
      <protection locked="0"/>
    </xf>
    <xf numFmtId="0" fontId="8" fillId="8" borderId="4" xfId="0" applyFont="1" applyFill="1" applyBorder="1" applyProtection="1">
      <protection locked="0"/>
    </xf>
    <xf numFmtId="3" fontId="8" fillId="8" borderId="4" xfId="0" applyNumberFormat="1" applyFont="1" applyFill="1" applyBorder="1" applyAlignment="1" applyProtection="1">
      <alignment vertical="top"/>
      <protection locked="0"/>
    </xf>
    <xf numFmtId="0" fontId="8" fillId="8" borderId="4" xfId="0" applyNumberFormat="1" applyFont="1" applyFill="1" applyBorder="1" applyAlignment="1" applyProtection="1">
      <alignment vertical="top"/>
      <protection locked="0"/>
    </xf>
    <xf numFmtId="0" fontId="14" fillId="7" borderId="0" xfId="0" applyFont="1" applyFill="1" applyBorder="1" applyAlignment="1" applyProtection="1">
      <alignment vertical="top"/>
      <protection hidden="1"/>
    </xf>
    <xf numFmtId="3" fontId="8" fillId="8" borderId="4" xfId="0" applyNumberFormat="1" applyFont="1" applyFill="1" applyBorder="1" applyProtection="1">
      <protection locked="0"/>
    </xf>
    <xf numFmtId="0" fontId="0" fillId="7" borderId="0" xfId="0" applyFill="1" applyBorder="1" applyAlignment="1" applyProtection="1">
      <alignment vertical="top"/>
      <protection hidden="1"/>
    </xf>
    <xf numFmtId="13" fontId="8" fillId="8" borderId="4" xfId="0" applyNumberFormat="1" applyFont="1" applyFill="1" applyBorder="1" applyAlignment="1" applyProtection="1">
      <alignment vertical="top"/>
      <protection locked="0"/>
    </xf>
    <xf numFmtId="1" fontId="8" fillId="7" borderId="4" xfId="0" applyNumberFormat="1" applyFont="1" applyFill="1" applyBorder="1" applyProtection="1">
      <protection hidden="1"/>
    </xf>
    <xf numFmtId="0" fontId="14" fillId="8" borderId="4" xfId="0" applyFont="1" applyFill="1" applyBorder="1" applyAlignment="1" applyProtection="1">
      <alignment horizontal="center" vertical="center"/>
      <protection locked="0"/>
    </xf>
    <xf numFmtId="0" fontId="5" fillId="2" borderId="6" xfId="0" applyNumberFormat="1" applyFont="1" applyFill="1" applyBorder="1" applyAlignment="1" applyProtection="1">
      <alignment horizontal="center" vertical="top"/>
      <protection hidden="1"/>
    </xf>
    <xf numFmtId="0" fontId="5" fillId="2" borderId="7" xfId="0" applyNumberFormat="1" applyFont="1" applyFill="1" applyBorder="1" applyAlignment="1" applyProtection="1">
      <alignment horizontal="center" vertical="top"/>
      <protection hidden="1"/>
    </xf>
    <xf numFmtId="0" fontId="6" fillId="2" borderId="7" xfId="0" applyNumberFormat="1" applyFont="1" applyFill="1" applyBorder="1" applyAlignment="1" applyProtection="1">
      <alignment horizontal="center" vertical="top"/>
      <protection hidden="1"/>
    </xf>
    <xf numFmtId="0" fontId="5" fillId="2" borderId="8" xfId="0" applyNumberFormat="1" applyFont="1" applyFill="1" applyBorder="1" applyAlignment="1" applyProtection="1">
      <alignment horizontal="center" vertical="top"/>
      <protection hidden="1"/>
    </xf>
    <xf numFmtId="0" fontId="7" fillId="2" borderId="9" xfId="0" applyNumberFormat="1" applyFont="1" applyFill="1" applyBorder="1" applyAlignment="1" applyProtection="1">
      <alignment horizontal="center" vertical="top"/>
      <protection hidden="1"/>
    </xf>
    <xf numFmtId="0" fontId="7" fillId="2" borderId="10" xfId="0" applyNumberFormat="1" applyFont="1" applyFill="1" applyBorder="1" applyAlignment="1" applyProtection="1">
      <alignment horizontal="center" vertical="top"/>
      <protection hidden="1"/>
    </xf>
    <xf numFmtId="0" fontId="7" fillId="2" borderId="6" xfId="0" applyNumberFormat="1" applyFont="1" applyFill="1" applyBorder="1" applyAlignment="1" applyProtection="1">
      <alignment vertical="top"/>
      <protection hidden="1"/>
    </xf>
    <xf numFmtId="0" fontId="7" fillId="2" borderId="8" xfId="0" applyNumberFormat="1" applyFont="1" applyFill="1" applyBorder="1" applyAlignment="1" applyProtection="1">
      <alignment vertical="top"/>
      <protection hidden="1"/>
    </xf>
    <xf numFmtId="0" fontId="7" fillId="2" borderId="11" xfId="0" applyNumberFormat="1" applyFont="1" applyFill="1" applyBorder="1" applyAlignment="1" applyProtection="1">
      <alignment horizontal="center" vertical="top"/>
      <protection hidden="1"/>
    </xf>
    <xf numFmtId="0" fontId="7" fillId="2" borderId="12" xfId="0" applyNumberFormat="1" applyFont="1" applyFill="1" applyBorder="1" applyAlignment="1" applyProtection="1">
      <alignment horizontal="center" vertical="top"/>
      <protection hidden="1"/>
    </xf>
    <xf numFmtId="164" fontId="2" fillId="2" borderId="10" xfId="0" applyNumberFormat="1" applyFont="1" applyFill="1" applyBorder="1" applyAlignment="1" applyProtection="1">
      <alignment horizontal="center" vertical="top"/>
      <protection hidden="1"/>
    </xf>
    <xf numFmtId="0" fontId="2" fillId="2" borderId="9" xfId="0" applyNumberFormat="1" applyFont="1" applyFill="1" applyBorder="1" applyAlignment="1" applyProtection="1">
      <alignment horizontal="center" vertical="top"/>
      <protection hidden="1"/>
    </xf>
    <xf numFmtId="0" fontId="2" fillId="2" borderId="13" xfId="0" applyNumberFormat="1" applyFont="1" applyFill="1" applyBorder="1" applyAlignment="1" applyProtection="1">
      <alignment horizontal="center" vertical="top"/>
      <protection hidden="1"/>
    </xf>
    <xf numFmtId="0" fontId="2" fillId="2" borderId="14" xfId="0" applyNumberFormat="1" applyFont="1" applyFill="1" applyBorder="1" applyAlignment="1" applyProtection="1">
      <alignment horizontal="center" vertical="top"/>
      <protection hidden="1"/>
    </xf>
    <xf numFmtId="164" fontId="2" fillId="2" borderId="15" xfId="0" applyNumberFormat="1" applyFont="1" applyFill="1" applyBorder="1" applyAlignment="1" applyProtection="1">
      <alignment horizontal="center" vertical="top"/>
      <protection hidden="1"/>
    </xf>
    <xf numFmtId="0" fontId="2" fillId="2" borderId="16" xfId="0" applyNumberFormat="1" applyFont="1" applyFill="1" applyBorder="1" applyAlignment="1" applyProtection="1">
      <alignment horizontal="center" vertical="top"/>
      <protection hidden="1"/>
    </xf>
    <xf numFmtId="0" fontId="2" fillId="2" borderId="0" xfId="0" applyNumberFormat="1" applyFont="1" applyFill="1" applyAlignment="1" applyProtection="1">
      <alignment horizontal="center" vertical="top"/>
      <protection hidden="1"/>
    </xf>
    <xf numFmtId="0" fontId="2" fillId="2" borderId="17" xfId="0" applyNumberFormat="1" applyFont="1" applyFill="1" applyBorder="1" applyAlignment="1" applyProtection="1">
      <alignment horizontal="center" vertical="top"/>
      <protection hidden="1"/>
    </xf>
    <xf numFmtId="164" fontId="2" fillId="2" borderId="18" xfId="0" applyNumberFormat="1" applyFont="1" applyFill="1" applyBorder="1" applyAlignment="1" applyProtection="1">
      <alignment horizontal="center" vertical="top"/>
      <protection hidden="1"/>
    </xf>
    <xf numFmtId="0" fontId="2" fillId="2" borderId="11" xfId="0" applyNumberFormat="1" applyFont="1" applyFill="1" applyBorder="1" applyAlignment="1" applyProtection="1">
      <alignment horizontal="center" vertical="top"/>
      <protection hidden="1"/>
    </xf>
    <xf numFmtId="0" fontId="2" fillId="2" borderId="3" xfId="0" applyNumberFormat="1" applyFont="1" applyFill="1" applyBorder="1" applyAlignment="1" applyProtection="1">
      <alignment horizontal="center" vertical="top"/>
      <protection hidden="1"/>
    </xf>
    <xf numFmtId="0" fontId="2" fillId="2" borderId="19" xfId="0" applyNumberFormat="1" applyFont="1" applyFill="1" applyBorder="1" applyAlignment="1" applyProtection="1">
      <alignment horizontal="center" vertical="top"/>
      <protection hidden="1"/>
    </xf>
    <xf numFmtId="165" fontId="1" fillId="7" borderId="4" xfId="1" applyNumberFormat="1" applyFont="1" applyFill="1" applyBorder="1" applyAlignment="1" applyProtection="1">
      <alignment horizontal="right" vertical="center"/>
      <protection hidden="1"/>
    </xf>
    <xf numFmtId="1" fontId="1" fillId="8" borderId="4" xfId="0" applyNumberFormat="1" applyFont="1" applyFill="1" applyBorder="1" applyAlignment="1" applyProtection="1">
      <alignment horizontal="right" vertical="center"/>
      <protection locked="0"/>
    </xf>
    <xf numFmtId="0" fontId="30" fillId="2" borderId="0" xfId="0" applyFont="1" applyFill="1" applyAlignment="1" applyProtection="1">
      <alignment horizontal="center"/>
      <protection hidden="1"/>
    </xf>
    <xf numFmtId="0" fontId="18" fillId="2" borderId="13" xfId="0" applyFont="1" applyFill="1" applyBorder="1" applyAlignment="1" applyProtection="1">
      <alignment horizontal="center"/>
      <protection hidden="1"/>
    </xf>
    <xf numFmtId="0" fontId="50" fillId="9" borderId="7" xfId="0" applyFont="1" applyFill="1" applyBorder="1" applyAlignment="1" applyProtection="1">
      <alignment horizontal="center" vertical="center" wrapText="1"/>
      <protection hidden="1"/>
    </xf>
    <xf numFmtId="1" fontId="8" fillId="2" borderId="27" xfId="0" applyNumberFormat="1" applyFont="1" applyFill="1" applyBorder="1" applyAlignment="1" applyProtection="1">
      <alignment horizontal="center" vertical="center"/>
      <protection hidden="1"/>
    </xf>
    <xf numFmtId="1" fontId="8" fillId="2" borderId="29" xfId="0" applyNumberFormat="1" applyFont="1" applyFill="1" applyBorder="1" applyAlignment="1" applyProtection="1">
      <alignment horizontal="center" vertical="center"/>
      <protection hidden="1"/>
    </xf>
    <xf numFmtId="1" fontId="8" fillId="2" borderId="28" xfId="0" applyNumberFormat="1" applyFont="1" applyFill="1" applyBorder="1" applyAlignment="1" applyProtection="1">
      <alignment horizontal="center" vertical="center"/>
      <protection hidden="1"/>
    </xf>
    <xf numFmtId="0" fontId="0" fillId="2" borderId="23" xfId="0" applyFill="1" applyBorder="1" applyAlignment="1" applyProtection="1">
      <alignment horizontal="center"/>
      <protection hidden="1"/>
    </xf>
    <xf numFmtId="0" fontId="0" fillId="2" borderId="0" xfId="0" applyFill="1" applyAlignment="1" applyProtection="1">
      <alignment horizontal="center"/>
      <protection hidden="1"/>
    </xf>
    <xf numFmtId="0" fontId="0" fillId="4" borderId="27" xfId="0" applyFill="1" applyBorder="1" applyAlignment="1" applyProtection="1">
      <alignment horizontal="center" vertical="center"/>
      <protection locked="0"/>
    </xf>
    <xf numFmtId="0" fontId="0" fillId="4" borderId="28" xfId="0" applyFill="1" applyBorder="1" applyAlignment="1" applyProtection="1">
      <alignment horizontal="center" vertical="center"/>
      <protection locked="0"/>
    </xf>
    <xf numFmtId="0" fontId="0" fillId="4" borderId="29" xfId="0" applyFill="1" applyBorder="1" applyAlignment="1" applyProtection="1">
      <alignment horizontal="center" vertical="center"/>
      <protection locked="0"/>
    </xf>
    <xf numFmtId="0" fontId="54" fillId="10" borderId="6" xfId="0" applyFont="1" applyFill="1" applyBorder="1" applyAlignment="1" applyProtection="1">
      <alignment horizontal="center"/>
      <protection hidden="1"/>
    </xf>
    <xf numFmtId="0" fontId="54" fillId="10" borderId="7" xfId="0" applyFont="1" applyFill="1" applyBorder="1" applyAlignment="1" applyProtection="1">
      <alignment horizontal="center"/>
      <protection hidden="1"/>
    </xf>
    <xf numFmtId="0" fontId="54" fillId="10" borderId="8" xfId="0" applyFont="1" applyFill="1" applyBorder="1" applyAlignment="1" applyProtection="1">
      <alignment horizontal="center"/>
      <protection hidden="1"/>
    </xf>
    <xf numFmtId="0" fontId="8" fillId="2" borderId="27" xfId="0" applyFont="1" applyFill="1" applyBorder="1" applyAlignment="1" applyProtection="1">
      <alignment horizontal="center" vertical="center"/>
      <protection hidden="1"/>
    </xf>
    <xf numFmtId="0" fontId="8" fillId="2" borderId="28" xfId="0" applyFont="1" applyFill="1" applyBorder="1" applyAlignment="1" applyProtection="1">
      <alignment horizontal="center" vertical="center"/>
      <protection hidden="1"/>
    </xf>
    <xf numFmtId="0" fontId="8" fillId="2" borderId="29" xfId="0" applyFont="1" applyFill="1" applyBorder="1" applyAlignment="1" applyProtection="1">
      <alignment horizontal="center" vertical="center"/>
      <protection hidden="1"/>
    </xf>
    <xf numFmtId="0" fontId="45" fillId="6" borderId="0" xfId="0" applyFont="1" applyFill="1" applyBorder="1" applyAlignment="1" applyProtection="1">
      <alignment horizontal="center" vertical="center" textRotation="90" wrapText="1"/>
      <protection hidden="1"/>
    </xf>
    <xf numFmtId="0" fontId="0" fillId="8" borderId="27" xfId="0" applyFill="1" applyBorder="1" applyAlignment="1" applyProtection="1">
      <alignment horizontal="center" vertical="center"/>
      <protection locked="0"/>
    </xf>
    <xf numFmtId="0" fontId="0" fillId="8" borderId="28" xfId="0" applyFill="1" applyBorder="1" applyAlignment="1" applyProtection="1">
      <alignment horizontal="center" vertical="center"/>
      <protection locked="0"/>
    </xf>
    <xf numFmtId="0" fontId="0" fillId="8" borderId="29" xfId="0" applyFill="1" applyBorder="1" applyAlignment="1" applyProtection="1">
      <alignment horizontal="center" vertical="center"/>
      <protection locked="0"/>
    </xf>
    <xf numFmtId="1" fontId="0" fillId="2" borderId="28" xfId="0" applyNumberFormat="1" applyFill="1" applyBorder="1" applyAlignment="1" applyProtection="1">
      <alignment horizontal="center" vertical="center"/>
      <protection hidden="1"/>
    </xf>
    <xf numFmtId="1" fontId="0" fillId="2" borderId="29" xfId="0" applyNumberFormat="1" applyFill="1" applyBorder="1" applyAlignment="1" applyProtection="1">
      <alignment horizontal="center" vertical="center"/>
      <protection hidden="1"/>
    </xf>
    <xf numFmtId="0" fontId="23" fillId="2" borderId="0" xfId="0" applyFont="1" applyFill="1" applyAlignment="1" applyProtection="1">
      <alignment horizontal="center"/>
      <protection hidden="1"/>
    </xf>
    <xf numFmtId="0" fontId="18" fillId="2" borderId="0" xfId="0" applyFont="1" applyFill="1" applyAlignment="1" applyProtection="1">
      <alignment horizontal="center"/>
      <protection hidden="1"/>
    </xf>
    <xf numFmtId="0" fontId="0" fillId="0" borderId="0" xfId="0" applyAlignment="1" applyProtection="1">
      <alignment horizontal="center" vertical="center" wrapText="1"/>
      <protection hidden="1"/>
    </xf>
    <xf numFmtId="0" fontId="31" fillId="2" borderId="0" xfId="0" applyFont="1" applyFill="1" applyAlignment="1" applyProtection="1">
      <alignment horizontal="center" vertical="center" wrapText="1"/>
      <protection hidden="1"/>
    </xf>
    <xf numFmtId="17" fontId="30" fillId="2" borderId="0" xfId="0" applyNumberFormat="1" applyFont="1" applyFill="1" applyBorder="1" applyAlignment="1" applyProtection="1">
      <alignment horizontal="center" vertical="center" wrapText="1"/>
      <protection hidden="1"/>
    </xf>
    <xf numFmtId="0" fontId="30" fillId="0" borderId="0" xfId="0" applyFont="1" applyAlignment="1" applyProtection="1">
      <alignment horizontal="center" vertical="center" wrapText="1"/>
      <protection hidden="1"/>
    </xf>
    <xf numFmtId="0" fontId="23" fillId="2" borderId="0" xfId="0" applyFont="1" applyFill="1" applyBorder="1" applyAlignment="1" applyProtection="1">
      <alignment horizontal="center"/>
      <protection hidden="1"/>
    </xf>
    <xf numFmtId="0" fontId="56" fillId="10" borderId="6" xfId="0" applyNumberFormat="1" applyFont="1" applyFill="1" applyBorder="1" applyAlignment="1" applyProtection="1">
      <alignment horizontal="center" vertical="center"/>
      <protection hidden="1"/>
    </xf>
    <xf numFmtId="0" fontId="56" fillId="10" borderId="7" xfId="0" applyNumberFormat="1" applyFont="1" applyFill="1" applyBorder="1" applyAlignment="1" applyProtection="1">
      <alignment horizontal="center" vertical="center"/>
      <protection hidden="1"/>
    </xf>
    <xf numFmtId="0" fontId="56" fillId="10" borderId="8" xfId="0" applyNumberFormat="1" applyFont="1" applyFill="1" applyBorder="1" applyAlignment="1" applyProtection="1">
      <alignment horizontal="center" vertical="center"/>
      <protection hidden="1"/>
    </xf>
    <xf numFmtId="1" fontId="2" fillId="8" borderId="10" xfId="0" applyNumberFormat="1" applyFont="1" applyFill="1" applyBorder="1" applyAlignment="1" applyProtection="1">
      <alignment horizontal="center" vertical="center" wrapText="1"/>
      <protection hidden="1"/>
    </xf>
    <xf numFmtId="1" fontId="2" fillId="8" borderId="13" xfId="0" applyNumberFormat="1" applyFont="1" applyFill="1" applyBorder="1" applyAlignment="1" applyProtection="1">
      <alignment horizontal="center" vertical="center" wrapText="1"/>
      <protection hidden="1"/>
    </xf>
    <xf numFmtId="1" fontId="2" fillId="8" borderId="14" xfId="0" applyNumberFormat="1" applyFont="1" applyFill="1" applyBorder="1" applyAlignment="1" applyProtection="1">
      <alignment horizontal="center" vertical="center" wrapText="1"/>
      <protection hidden="1"/>
    </xf>
    <xf numFmtId="1" fontId="2" fillId="8" borderId="15" xfId="0" applyNumberFormat="1" applyFont="1" applyFill="1" applyBorder="1" applyAlignment="1" applyProtection="1">
      <alignment horizontal="center" vertical="center" wrapText="1"/>
      <protection hidden="1"/>
    </xf>
    <xf numFmtId="1" fontId="2" fillId="8" borderId="0" xfId="0" applyNumberFormat="1" applyFont="1" applyFill="1" applyBorder="1" applyAlignment="1" applyProtection="1">
      <alignment horizontal="center" vertical="center" wrapText="1"/>
      <protection hidden="1"/>
    </xf>
    <xf numFmtId="1" fontId="2" fillId="8" borderId="17" xfId="0" applyNumberFormat="1" applyFont="1" applyFill="1" applyBorder="1" applyAlignment="1" applyProtection="1">
      <alignment horizontal="center" vertical="center" wrapText="1"/>
      <protection hidden="1"/>
    </xf>
    <xf numFmtId="1" fontId="2" fillId="8" borderId="18" xfId="0" applyNumberFormat="1" applyFont="1" applyFill="1" applyBorder="1" applyAlignment="1" applyProtection="1">
      <alignment horizontal="center" vertical="center" wrapText="1"/>
      <protection hidden="1"/>
    </xf>
    <xf numFmtId="1" fontId="2" fillId="8" borderId="3" xfId="0" applyNumberFormat="1" applyFont="1" applyFill="1" applyBorder="1" applyAlignment="1" applyProtection="1">
      <alignment horizontal="center" vertical="center" wrapText="1"/>
      <protection hidden="1"/>
    </xf>
    <xf numFmtId="1" fontId="2" fillId="8" borderId="19" xfId="0" applyNumberFormat="1" applyFont="1" applyFill="1" applyBorder="1" applyAlignment="1" applyProtection="1">
      <alignment horizontal="center" vertical="center" wrapText="1"/>
      <protection hidden="1"/>
    </xf>
    <xf numFmtId="0" fontId="8" fillId="8" borderId="27" xfId="0" applyFont="1" applyFill="1" applyBorder="1" applyAlignment="1" applyProtection="1">
      <alignment horizontal="center" vertical="center"/>
      <protection locked="0"/>
    </xf>
    <xf numFmtId="0" fontId="8" fillId="8" borderId="29" xfId="0" applyFont="1" applyFill="1" applyBorder="1" applyAlignment="1" applyProtection="1">
      <alignment horizontal="center" vertical="center"/>
      <protection locked="0"/>
    </xf>
    <xf numFmtId="0" fontId="64" fillId="9" borderId="25" xfId="0" applyFont="1" applyFill="1" applyBorder="1" applyAlignment="1" applyProtection="1">
      <alignment horizontal="center" vertical="center" wrapText="1"/>
      <protection hidden="1"/>
    </xf>
    <xf numFmtId="0" fontId="64" fillId="9" borderId="26" xfId="0" applyFont="1" applyFill="1" applyBorder="1" applyAlignment="1" applyProtection="1">
      <alignment horizontal="center" vertical="center" wrapText="1"/>
      <protection hidden="1"/>
    </xf>
    <xf numFmtId="0" fontId="45" fillId="8" borderId="1" xfId="0" applyNumberFormat="1" applyFont="1" applyFill="1" applyBorder="1" applyAlignment="1" applyProtection="1">
      <alignment horizontal="right" vertical="center"/>
      <protection hidden="1"/>
    </xf>
    <xf numFmtId="0" fontId="50" fillId="9" borderId="24" xfId="0" applyNumberFormat="1" applyFont="1" applyFill="1" applyBorder="1" applyAlignment="1" applyProtection="1">
      <alignment horizontal="left" vertical="center" wrapText="1"/>
      <protection hidden="1"/>
    </xf>
    <xf numFmtId="0" fontId="50" fillId="9" borderId="25" xfId="0" applyNumberFormat="1" applyFont="1" applyFill="1" applyBorder="1" applyAlignment="1" applyProtection="1">
      <alignment horizontal="left" vertical="center" wrapText="1"/>
      <protection hidden="1"/>
    </xf>
    <xf numFmtId="0" fontId="47" fillId="2" borderId="1" xfId="0" applyNumberFormat="1" applyFont="1" applyFill="1" applyBorder="1" applyAlignment="1" applyProtection="1">
      <alignment horizontal="center" vertical="top"/>
      <protection hidden="1"/>
    </xf>
    <xf numFmtId="0" fontId="47" fillId="2" borderId="0" xfId="0" applyNumberFormat="1" applyFont="1" applyFill="1" applyBorder="1" applyAlignment="1" applyProtection="1">
      <alignment horizontal="center" vertical="top"/>
      <protection hidden="1"/>
    </xf>
    <xf numFmtId="0" fontId="49" fillId="2" borderId="0" xfId="0" applyNumberFormat="1" applyFont="1" applyFill="1" applyBorder="1" applyAlignment="1" applyProtection="1">
      <alignment horizontal="center" vertical="top"/>
      <protection hidden="1"/>
    </xf>
    <xf numFmtId="0" fontId="51" fillId="9" borderId="25" xfId="0" applyFont="1" applyFill="1" applyBorder="1" applyAlignment="1" applyProtection="1">
      <alignment horizontal="center" vertical="center" wrapText="1"/>
      <protection hidden="1"/>
    </xf>
    <xf numFmtId="0" fontId="51" fillId="9" borderId="26" xfId="0" applyFont="1" applyFill="1" applyBorder="1" applyAlignment="1" applyProtection="1">
      <alignment horizontal="center" vertical="center" wrapText="1"/>
      <protection hidden="1"/>
    </xf>
    <xf numFmtId="0" fontId="65" fillId="7" borderId="0" xfId="0" applyFont="1" applyFill="1" applyBorder="1" applyAlignment="1" applyProtection="1">
      <alignment horizontal="left" vertical="top" wrapText="1"/>
      <protection hidden="1"/>
    </xf>
    <xf numFmtId="0" fontId="47" fillId="2" borderId="5" xfId="0" applyNumberFormat="1" applyFont="1" applyFill="1" applyBorder="1" applyAlignment="1" applyProtection="1">
      <alignment horizontal="center" vertical="top"/>
      <protection hidden="1"/>
    </xf>
    <xf numFmtId="0" fontId="59" fillId="10" borderId="6" xfId="0" applyNumberFormat="1" applyFont="1" applyFill="1" applyBorder="1" applyAlignment="1" applyProtection="1">
      <alignment horizontal="center" vertical="center"/>
      <protection hidden="1"/>
    </xf>
    <xf numFmtId="0" fontId="59" fillId="10" borderId="7" xfId="0" applyNumberFormat="1" applyFont="1" applyFill="1" applyBorder="1" applyAlignment="1" applyProtection="1">
      <alignment horizontal="center" vertical="center"/>
      <protection hidden="1"/>
    </xf>
    <xf numFmtId="0" fontId="59" fillId="10" borderId="8" xfId="0" applyNumberFormat="1" applyFont="1" applyFill="1" applyBorder="1" applyAlignment="1" applyProtection="1">
      <alignment horizontal="center" vertical="center"/>
      <protection hidden="1"/>
    </xf>
    <xf numFmtId="0" fontId="48" fillId="2" borderId="0" xfId="0" applyFont="1" applyFill="1" applyAlignment="1" applyProtection="1">
      <alignment horizontal="center"/>
      <protection hidden="1"/>
    </xf>
    <xf numFmtId="0" fontId="10" fillId="5" borderId="24" xfId="0" applyFont="1" applyFill="1" applyBorder="1" applyAlignment="1" applyProtection="1">
      <alignment horizontal="center" vertical="center" wrapText="1"/>
      <protection hidden="1"/>
    </xf>
    <xf numFmtId="0" fontId="10" fillId="5" borderId="25" xfId="0" applyFont="1" applyFill="1" applyBorder="1" applyAlignment="1" applyProtection="1">
      <alignment horizontal="center" vertical="center" wrapText="1"/>
      <protection hidden="1"/>
    </xf>
    <xf numFmtId="0" fontId="10" fillId="5" borderId="26" xfId="0" applyFont="1" applyFill="1" applyBorder="1" applyAlignment="1" applyProtection="1">
      <alignment horizontal="center" vertical="center" wrapText="1"/>
      <protection hidden="1"/>
    </xf>
    <xf numFmtId="0" fontId="10" fillId="5" borderId="1" xfId="0" applyFont="1" applyFill="1" applyBorder="1" applyAlignment="1" applyProtection="1">
      <alignment horizontal="center" vertical="center" wrapText="1"/>
      <protection hidden="1"/>
    </xf>
    <xf numFmtId="0" fontId="10" fillId="5" borderId="0" xfId="0" applyFont="1" applyFill="1" applyBorder="1" applyAlignment="1" applyProtection="1">
      <alignment horizontal="center" vertical="center" wrapText="1"/>
      <protection hidden="1"/>
    </xf>
    <xf numFmtId="0" fontId="10" fillId="5" borderId="5" xfId="0" applyFont="1" applyFill="1" applyBorder="1" applyAlignment="1" applyProtection="1">
      <alignment horizontal="center" vertical="center" wrapText="1"/>
      <protection hidden="1"/>
    </xf>
    <xf numFmtId="0" fontId="10" fillId="5" borderId="20" xfId="0" applyFont="1" applyFill="1" applyBorder="1" applyAlignment="1" applyProtection="1">
      <alignment horizontal="center" vertical="center" wrapText="1"/>
      <protection hidden="1"/>
    </xf>
    <xf numFmtId="0" fontId="10" fillId="5" borderId="2" xfId="0" applyFont="1" applyFill="1" applyBorder="1" applyAlignment="1" applyProtection="1">
      <alignment horizontal="center" vertical="center" wrapText="1"/>
      <protection hidden="1"/>
    </xf>
    <xf numFmtId="0" fontId="10" fillId="5" borderId="21" xfId="0" applyFont="1" applyFill="1" applyBorder="1" applyAlignment="1" applyProtection="1">
      <alignment horizontal="center" vertical="center" wrapText="1"/>
      <protection hidden="1"/>
    </xf>
    <xf numFmtId="0" fontId="64" fillId="9" borderId="25" xfId="0" applyFont="1" applyFill="1" applyBorder="1" applyAlignment="1" applyProtection="1">
      <alignment horizontal="center" vertical="center"/>
      <protection hidden="1"/>
    </xf>
    <xf numFmtId="0" fontId="64" fillId="9" borderId="26" xfId="0" applyFont="1" applyFill="1" applyBorder="1" applyAlignment="1" applyProtection="1">
      <alignment horizontal="center" vertical="center"/>
      <protection hidden="1"/>
    </xf>
    <xf numFmtId="0" fontId="50" fillId="9" borderId="24" xfId="0" applyNumberFormat="1" applyFont="1" applyFill="1" applyBorder="1" applyAlignment="1" applyProtection="1">
      <alignment horizontal="center" vertical="center" wrapText="1"/>
      <protection hidden="1"/>
    </xf>
    <xf numFmtId="0" fontId="50" fillId="9" borderId="25" xfId="0" applyNumberFormat="1" applyFont="1" applyFill="1" applyBorder="1" applyAlignment="1" applyProtection="1">
      <alignment horizontal="center" vertical="center" wrapText="1"/>
      <protection hidden="1"/>
    </xf>
    <xf numFmtId="0" fontId="59" fillId="10" borderId="6" xfId="0" applyNumberFormat="1" applyFont="1" applyFill="1" applyBorder="1" applyAlignment="1" applyProtection="1">
      <alignment horizontal="center" vertical="top"/>
      <protection hidden="1"/>
    </xf>
    <xf numFmtId="0" fontId="59" fillId="10" borderId="7" xfId="0" applyNumberFormat="1" applyFont="1" applyFill="1" applyBorder="1" applyAlignment="1" applyProtection="1">
      <alignment horizontal="center" vertical="top"/>
      <protection hidden="1"/>
    </xf>
    <xf numFmtId="0" fontId="59" fillId="10" borderId="8" xfId="0" applyNumberFormat="1" applyFont="1" applyFill="1" applyBorder="1" applyAlignment="1" applyProtection="1">
      <alignment horizontal="center" vertical="top"/>
      <protection hidden="1"/>
    </xf>
    <xf numFmtId="0" fontId="60" fillId="2" borderId="1" xfId="0" applyFont="1" applyFill="1" applyBorder="1" applyAlignment="1" applyProtection="1">
      <alignment horizontal="center" vertical="center" wrapText="1"/>
      <protection hidden="1"/>
    </xf>
    <xf numFmtId="0" fontId="60" fillId="2" borderId="0" xfId="0" applyFont="1" applyFill="1" applyBorder="1" applyAlignment="1" applyProtection="1">
      <alignment horizontal="center" vertical="center" wrapText="1"/>
      <protection hidden="1"/>
    </xf>
    <xf numFmtId="0" fontId="60" fillId="2" borderId="5" xfId="0" applyFont="1" applyFill="1" applyBorder="1" applyAlignment="1" applyProtection="1">
      <alignment horizontal="center" vertical="center" wrapText="1"/>
      <protection hidden="1"/>
    </xf>
    <xf numFmtId="0" fontId="11" fillId="3" borderId="27" xfId="0" applyNumberFormat="1" applyFont="1" applyFill="1" applyBorder="1" applyAlignment="1" applyProtection="1">
      <alignment horizontal="center" vertical="top"/>
      <protection hidden="1"/>
    </xf>
    <xf numFmtId="0" fontId="11" fillId="3" borderId="29" xfId="0" applyNumberFormat="1" applyFont="1" applyFill="1" applyBorder="1" applyAlignment="1" applyProtection="1">
      <alignment horizontal="center" vertical="top"/>
      <protection hidden="1"/>
    </xf>
    <xf numFmtId="0" fontId="12" fillId="3" borderId="27" xfId="0" applyNumberFormat="1" applyFont="1" applyFill="1" applyBorder="1" applyAlignment="1" applyProtection="1">
      <alignment horizontal="center" vertical="top"/>
      <protection hidden="1"/>
    </xf>
    <xf numFmtId="0" fontId="12" fillId="3" borderId="29" xfId="0" applyNumberFormat="1" applyFont="1" applyFill="1" applyBorder="1" applyAlignment="1" applyProtection="1">
      <alignment horizontal="center" vertical="top"/>
      <protection hidden="1"/>
    </xf>
    <xf numFmtId="0" fontId="50" fillId="9" borderId="24" xfId="0" applyNumberFormat="1" applyFont="1" applyFill="1" applyBorder="1" applyAlignment="1" applyProtection="1">
      <alignment horizontal="left" vertical="center"/>
      <protection hidden="1"/>
    </xf>
    <xf numFmtId="0" fontId="50" fillId="9" borderId="25" xfId="0" applyNumberFormat="1" applyFont="1" applyFill="1" applyBorder="1" applyAlignment="1" applyProtection="1">
      <alignment horizontal="left" vertical="center"/>
      <protection hidden="1"/>
    </xf>
    <xf numFmtId="0" fontId="50" fillId="9" borderId="26" xfId="0" applyNumberFormat="1" applyFont="1" applyFill="1" applyBorder="1" applyAlignment="1" applyProtection="1">
      <alignment horizontal="left" vertical="center"/>
      <protection hidden="1"/>
    </xf>
    <xf numFmtId="0" fontId="12" fillId="7" borderId="27" xfId="0" applyFont="1" applyFill="1" applyBorder="1" applyAlignment="1" applyProtection="1">
      <alignment horizontal="center"/>
      <protection hidden="1"/>
    </xf>
    <xf numFmtId="0" fontId="12" fillId="7" borderId="29" xfId="0" applyFont="1" applyFill="1" applyBorder="1" applyAlignment="1" applyProtection="1">
      <alignment horizontal="center"/>
      <protection hidden="1"/>
    </xf>
    <xf numFmtId="0" fontId="12" fillId="3" borderId="27" xfId="0" applyFont="1" applyFill="1" applyBorder="1" applyAlignment="1" applyProtection="1">
      <alignment horizontal="center"/>
      <protection hidden="1"/>
    </xf>
    <xf numFmtId="0" fontId="12" fillId="3" borderId="29" xfId="0" applyFont="1" applyFill="1" applyBorder="1" applyAlignment="1" applyProtection="1">
      <alignment horizontal="center"/>
      <protection hidden="1"/>
    </xf>
    <xf numFmtId="0" fontId="14" fillId="7" borderId="24" xfId="0" applyNumberFormat="1" applyFont="1" applyFill="1" applyBorder="1" applyAlignment="1" applyProtection="1">
      <alignment horizontal="center" vertical="center" wrapText="1"/>
      <protection hidden="1"/>
    </xf>
    <xf numFmtId="0" fontId="14" fillId="7" borderId="25" xfId="0" applyNumberFormat="1" applyFont="1" applyFill="1" applyBorder="1" applyAlignment="1" applyProtection="1">
      <alignment horizontal="center" vertical="center" wrapText="1"/>
      <protection hidden="1"/>
    </xf>
    <xf numFmtId="0" fontId="14" fillId="7" borderId="26" xfId="0" applyNumberFormat="1" applyFont="1" applyFill="1" applyBorder="1" applyAlignment="1" applyProtection="1">
      <alignment horizontal="center" vertical="center" wrapText="1"/>
      <protection hidden="1"/>
    </xf>
    <xf numFmtId="0" fontId="14" fillId="7" borderId="1" xfId="0" applyNumberFormat="1" applyFont="1" applyFill="1" applyBorder="1" applyAlignment="1" applyProtection="1">
      <alignment horizontal="center" vertical="center" wrapText="1"/>
      <protection hidden="1"/>
    </xf>
    <xf numFmtId="0" fontId="14" fillId="7" borderId="0" xfId="0" applyNumberFormat="1" applyFont="1" applyFill="1" applyBorder="1" applyAlignment="1" applyProtection="1">
      <alignment horizontal="center" vertical="center" wrapText="1"/>
      <protection hidden="1"/>
    </xf>
    <xf numFmtId="0" fontId="14" fillId="7" borderId="5" xfId="0" applyNumberFormat="1" applyFont="1" applyFill="1" applyBorder="1" applyAlignment="1" applyProtection="1">
      <alignment horizontal="center" vertical="center" wrapText="1"/>
      <protection hidden="1"/>
    </xf>
    <xf numFmtId="0" fontId="64" fillId="9" borderId="25" xfId="0" applyNumberFormat="1" applyFont="1" applyFill="1" applyBorder="1" applyAlignment="1" applyProtection="1">
      <alignment horizontal="center" vertical="center"/>
      <protection hidden="1"/>
    </xf>
    <xf numFmtId="0" fontId="64" fillId="9" borderId="26" xfId="0" applyNumberFormat="1" applyFont="1" applyFill="1" applyBorder="1" applyAlignment="1" applyProtection="1">
      <alignment horizontal="center" vertical="center"/>
      <protection hidden="1"/>
    </xf>
    <xf numFmtId="0" fontId="3" fillId="10" borderId="6" xfId="0" applyFont="1" applyFill="1" applyBorder="1" applyAlignment="1" applyProtection="1">
      <alignment horizontal="center" vertical="center"/>
      <protection hidden="1"/>
    </xf>
    <xf numFmtId="0" fontId="3" fillId="10" borderId="7" xfId="0" applyFont="1" applyFill="1" applyBorder="1" applyAlignment="1" applyProtection="1">
      <alignment horizontal="center" vertical="center"/>
      <protection hidden="1"/>
    </xf>
    <xf numFmtId="0" fontId="3" fillId="10" borderId="8" xfId="0" applyFont="1" applyFill="1" applyBorder="1" applyAlignment="1" applyProtection="1">
      <alignment horizontal="center" vertical="center"/>
      <protection hidden="1"/>
    </xf>
    <xf numFmtId="0" fontId="30" fillId="2" borderId="13" xfId="0" applyFont="1" applyFill="1" applyBorder="1" applyAlignment="1" applyProtection="1">
      <alignment horizontal="center"/>
      <protection hidden="1"/>
    </xf>
  </cellXfs>
  <cellStyles count="52">
    <cellStyle name="Comma" xfId="1" builtinId="3"/>
    <cellStyle name="Hyperlink" xfId="2" builtinId="8"/>
    <cellStyle name="Normal" xfId="0" builtinId="0"/>
    <cellStyle name="Normal 10" xfId="4"/>
    <cellStyle name="Normal 11" xfId="5"/>
    <cellStyle name="Normal 12" xfId="6"/>
    <cellStyle name="Normal 13" xfId="7"/>
    <cellStyle name="Normal 14" xfId="8"/>
    <cellStyle name="Normal 15" xfId="9"/>
    <cellStyle name="Normal 16" xfId="10"/>
    <cellStyle name="Normal 17" xfId="11"/>
    <cellStyle name="Normal 18" xfId="12"/>
    <cellStyle name="Normal 19" xfId="13"/>
    <cellStyle name="Normal 2" xfId="14"/>
    <cellStyle name="Normal 20" xfId="15"/>
    <cellStyle name="Normal 21" xfId="16"/>
    <cellStyle name="Normal 22" xfId="17"/>
    <cellStyle name="Normal 23" xfId="18"/>
    <cellStyle name="Normal 24" xfId="19"/>
    <cellStyle name="Normal 25" xfId="20"/>
    <cellStyle name="Normal 26" xfId="21"/>
    <cellStyle name="Normal 27" xfId="22"/>
    <cellStyle name="Normal 28" xfId="23"/>
    <cellStyle name="Normal 29" xfId="24"/>
    <cellStyle name="Normal 3" xfId="25"/>
    <cellStyle name="Normal 30" xfId="26"/>
    <cellStyle name="Normal 31" xfId="27"/>
    <cellStyle name="Normal 32" xfId="28"/>
    <cellStyle name="Normal 33" xfId="29"/>
    <cellStyle name="Normal 34" xfId="3"/>
    <cellStyle name="Normal 35" xfId="30"/>
    <cellStyle name="Normal 36" xfId="31"/>
    <cellStyle name="Normal 37" xfId="32"/>
    <cellStyle name="Normal 38" xfId="33"/>
    <cellStyle name="Normal 39" xfId="34"/>
    <cellStyle name="Normal 4" xfId="35"/>
    <cellStyle name="Normal 40" xfId="36"/>
    <cellStyle name="Normal 41" xfId="37"/>
    <cellStyle name="Normal 42" xfId="38"/>
    <cellStyle name="Normal 43" xfId="39"/>
    <cellStyle name="Normal 44" xfId="40"/>
    <cellStyle name="Normal 45" xfId="41"/>
    <cellStyle name="Normal 46" xfId="42"/>
    <cellStyle name="Normal 47" xfId="43"/>
    <cellStyle name="Normal 48" xfId="44"/>
    <cellStyle name="Normal 5" xfId="45"/>
    <cellStyle name="Normal 6" xfId="46"/>
    <cellStyle name="Normal 7" xfId="47"/>
    <cellStyle name="Normal 8" xfId="48"/>
    <cellStyle name="Normal 9" xfId="49"/>
    <cellStyle name="Normal_ASME B16.47 Series B 75-300# U" xfId="50"/>
    <cellStyle name="Percent" xfId="51" builtinId="5"/>
  </cellStyles>
  <dxfs count="377">
    <dxf>
      <fill>
        <patternFill>
          <bgColor rgb="FF00FF00"/>
        </patternFill>
      </fill>
    </dxf>
    <dxf>
      <font>
        <color theme="0"/>
      </font>
      <fill>
        <patternFill>
          <bgColor rgb="FFFF6600"/>
        </patternFill>
      </fill>
    </dxf>
    <dxf>
      <fill>
        <patternFill>
          <bgColor rgb="FFFFFF00"/>
        </patternFill>
      </fill>
    </dxf>
    <dxf>
      <font>
        <color theme="0"/>
      </font>
      <fill>
        <patternFill>
          <bgColor rgb="FFFF0000"/>
        </patternFill>
      </fill>
    </dxf>
    <dxf>
      <font>
        <b/>
        <i val="0"/>
        <color theme="1"/>
      </font>
      <fill>
        <patternFill>
          <bgColor rgb="FF66FF33"/>
        </patternFill>
      </fill>
    </dxf>
    <dxf>
      <font>
        <b/>
        <i val="0"/>
        <color theme="0"/>
      </font>
      <fill>
        <patternFill>
          <bgColor rgb="FFFF00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ill>
        <patternFill>
          <bgColor rgb="FF00FF00"/>
        </patternFill>
      </fill>
    </dxf>
    <dxf>
      <font>
        <color theme="0"/>
      </font>
      <fill>
        <patternFill>
          <bgColor rgb="FFFF6600"/>
        </patternFill>
      </fill>
    </dxf>
    <dxf>
      <fill>
        <patternFill>
          <bgColor rgb="FFFFFF00"/>
        </patternFill>
      </fill>
    </dxf>
    <dxf>
      <font>
        <color theme="0"/>
      </font>
      <fill>
        <patternFill>
          <bgColor rgb="FFFF0000"/>
        </patternFill>
      </fill>
    </dxf>
    <dxf>
      <font>
        <b/>
        <i val="0"/>
        <color theme="1"/>
      </font>
      <fill>
        <patternFill>
          <bgColor rgb="FF66FF33"/>
        </patternFill>
      </fill>
    </dxf>
    <dxf>
      <font>
        <b/>
        <i val="0"/>
        <color theme="0"/>
      </font>
      <fill>
        <patternFill>
          <bgColor rgb="FFFF00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ill>
        <patternFill>
          <bgColor rgb="FF00FF00"/>
        </patternFill>
      </fill>
    </dxf>
    <dxf>
      <font>
        <color theme="0"/>
      </font>
      <fill>
        <patternFill>
          <bgColor rgb="FFFF6600"/>
        </patternFill>
      </fill>
    </dxf>
    <dxf>
      <fill>
        <patternFill>
          <bgColor rgb="FFFFFF00"/>
        </patternFill>
      </fill>
    </dxf>
    <dxf>
      <font>
        <color theme="0"/>
      </font>
      <fill>
        <patternFill>
          <bgColor rgb="FFFF0000"/>
        </patternFill>
      </fill>
    </dxf>
    <dxf>
      <font>
        <b/>
        <i val="0"/>
        <color theme="1"/>
      </font>
      <fill>
        <patternFill>
          <bgColor rgb="FF66FF33"/>
        </patternFill>
      </fill>
    </dxf>
    <dxf>
      <font>
        <b/>
        <i val="0"/>
        <color theme="0"/>
      </font>
      <fill>
        <patternFill>
          <bgColor rgb="FFFF00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ill>
        <patternFill>
          <bgColor rgb="FF00FF00"/>
        </patternFill>
      </fill>
    </dxf>
    <dxf>
      <font>
        <color theme="0"/>
      </font>
      <fill>
        <patternFill>
          <bgColor rgb="FFFF6600"/>
        </patternFill>
      </fill>
    </dxf>
    <dxf>
      <fill>
        <patternFill>
          <bgColor rgb="FFFFFF00"/>
        </patternFill>
      </fill>
    </dxf>
    <dxf>
      <font>
        <color theme="0"/>
      </font>
      <fill>
        <patternFill>
          <bgColor rgb="FFFF0000"/>
        </patternFill>
      </fill>
    </dxf>
    <dxf>
      <font>
        <b/>
        <i val="0"/>
        <color theme="1"/>
      </font>
      <fill>
        <patternFill>
          <bgColor rgb="FF66FF33"/>
        </patternFill>
      </fill>
    </dxf>
    <dxf>
      <font>
        <b/>
        <i val="0"/>
        <color theme="0"/>
      </font>
      <fill>
        <patternFill>
          <bgColor rgb="FFFF0000"/>
        </patternFill>
      </fill>
    </dxf>
    <dxf>
      <font>
        <b/>
        <i val="0"/>
        <color theme="1"/>
      </font>
      <fill>
        <patternFill>
          <bgColor rgb="FF66FF33"/>
        </patternFill>
      </fill>
    </dxf>
    <dxf>
      <font>
        <b/>
        <i val="0"/>
        <color theme="0"/>
      </font>
      <fill>
        <patternFill>
          <bgColor rgb="FFFF0000"/>
        </patternFill>
      </fill>
    </dxf>
    <dxf>
      <font>
        <b/>
        <i val="0"/>
        <color auto="1"/>
      </font>
      <fill>
        <patternFill>
          <bgColor rgb="FF66FF33"/>
        </patternFill>
      </fill>
    </dxf>
    <dxf>
      <font>
        <b/>
        <i val="0"/>
      </font>
      <fill>
        <patternFill>
          <bgColor rgb="FFFF00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ill>
        <patternFill>
          <bgColor rgb="FF00FF00"/>
        </patternFill>
      </fill>
    </dxf>
    <dxf>
      <font>
        <color theme="0"/>
      </font>
      <fill>
        <patternFill>
          <bgColor rgb="FFFF6600"/>
        </patternFill>
      </fill>
    </dxf>
    <dxf>
      <fill>
        <patternFill>
          <bgColor rgb="FFFFFF00"/>
        </patternFill>
      </fill>
    </dxf>
    <dxf>
      <font>
        <color theme="0"/>
      </font>
      <fill>
        <patternFill>
          <bgColor rgb="FFFF00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ill>
        <patternFill>
          <bgColor rgb="FF00FF00"/>
        </patternFill>
      </fill>
    </dxf>
    <dxf>
      <fill>
        <patternFill>
          <bgColor rgb="FFFFFF00"/>
        </patternFill>
      </fill>
    </dxf>
    <dxf>
      <font>
        <color theme="0"/>
      </font>
      <fill>
        <patternFill>
          <bgColor rgb="FFFF0000"/>
        </patternFill>
      </fill>
    </dxf>
    <dxf>
      <fill>
        <patternFill>
          <bgColor rgb="FF00FF00"/>
        </patternFill>
      </fill>
    </dxf>
    <dxf>
      <fill>
        <patternFill>
          <bgColor rgb="FFFFFF00"/>
        </patternFill>
      </fill>
    </dxf>
    <dxf>
      <font>
        <color theme="0"/>
      </font>
      <fill>
        <patternFill>
          <bgColor rgb="FFFF0000"/>
        </patternFill>
      </fill>
    </dxf>
    <dxf>
      <fill>
        <patternFill>
          <bgColor rgb="FF00FF00"/>
        </patternFill>
      </fill>
    </dxf>
    <dxf>
      <fill>
        <patternFill>
          <bgColor rgb="FFFFFF00"/>
        </patternFill>
      </fill>
    </dxf>
    <dxf>
      <font>
        <color theme="0"/>
      </font>
      <fill>
        <patternFill>
          <bgColor rgb="FFFF0000"/>
        </patternFill>
      </fill>
    </dxf>
    <dxf>
      <fill>
        <patternFill>
          <bgColor rgb="FF00FF00"/>
        </patternFill>
      </fill>
    </dxf>
    <dxf>
      <fill>
        <patternFill>
          <bgColor rgb="FFFFFF00"/>
        </patternFill>
      </fill>
    </dxf>
    <dxf>
      <font>
        <color theme="0"/>
      </font>
      <fill>
        <patternFill>
          <bgColor rgb="FFFF0000"/>
        </patternFill>
      </fill>
    </dxf>
    <dxf>
      <fill>
        <patternFill>
          <bgColor rgb="FF00FF00"/>
        </patternFill>
      </fill>
    </dxf>
    <dxf>
      <fill>
        <patternFill>
          <bgColor rgb="FFFFFF00"/>
        </patternFill>
      </fill>
    </dxf>
    <dxf>
      <font>
        <color theme="0"/>
      </font>
      <fill>
        <patternFill>
          <bgColor rgb="FFFF0000"/>
        </patternFill>
      </fill>
    </dxf>
    <dxf>
      <fill>
        <patternFill>
          <bgColor rgb="FF00FF00"/>
        </patternFill>
      </fill>
    </dxf>
    <dxf>
      <fill>
        <patternFill>
          <bgColor rgb="FFFFFF00"/>
        </patternFill>
      </fill>
    </dxf>
    <dxf>
      <font>
        <color theme="0"/>
      </font>
      <fill>
        <patternFill>
          <bgColor rgb="FFFF0000"/>
        </patternFill>
      </fill>
    </dxf>
    <dxf>
      <fill>
        <patternFill>
          <bgColor rgb="FF00FF00"/>
        </patternFill>
      </fill>
    </dxf>
    <dxf>
      <fill>
        <patternFill>
          <bgColor rgb="FFFFFF00"/>
        </patternFill>
      </fill>
    </dxf>
    <dxf>
      <font>
        <color theme="0"/>
      </font>
      <fill>
        <patternFill>
          <bgColor rgb="FFFF0000"/>
        </patternFill>
      </fill>
    </dxf>
    <dxf>
      <fill>
        <patternFill>
          <bgColor rgb="FF00FF00"/>
        </patternFill>
      </fill>
    </dxf>
    <dxf>
      <fill>
        <patternFill>
          <bgColor rgb="FFFFFF00"/>
        </patternFill>
      </fill>
    </dxf>
    <dxf>
      <font>
        <color theme="0"/>
      </font>
      <fill>
        <patternFill>
          <bgColor rgb="FFFF0000"/>
        </patternFill>
      </fill>
    </dxf>
    <dxf>
      <fill>
        <patternFill>
          <bgColor rgb="FF00FF00"/>
        </patternFill>
      </fill>
    </dxf>
    <dxf>
      <fill>
        <patternFill>
          <bgColor rgb="FFFFFF00"/>
        </patternFill>
      </fill>
    </dxf>
    <dxf>
      <font>
        <color theme="0"/>
      </font>
      <fill>
        <patternFill>
          <bgColor rgb="FFFF0000"/>
        </patternFill>
      </fill>
    </dxf>
    <dxf>
      <fill>
        <patternFill>
          <bgColor rgb="FF00FF00"/>
        </patternFill>
      </fill>
    </dxf>
    <dxf>
      <fill>
        <patternFill>
          <bgColor rgb="FFFFFF00"/>
        </patternFill>
      </fill>
    </dxf>
    <dxf>
      <font>
        <color theme="0"/>
      </font>
      <fill>
        <patternFill>
          <bgColor rgb="FFFF0000"/>
        </patternFill>
      </fill>
    </dxf>
    <dxf>
      <fill>
        <patternFill>
          <bgColor rgb="FF00FF00"/>
        </patternFill>
      </fill>
    </dxf>
    <dxf>
      <fill>
        <patternFill>
          <bgColor rgb="FFFFFF00"/>
        </patternFill>
      </fill>
    </dxf>
    <dxf>
      <font>
        <color theme="0"/>
      </font>
      <fill>
        <patternFill>
          <bgColor rgb="FFFF0000"/>
        </patternFill>
      </fill>
    </dxf>
    <dxf>
      <fill>
        <patternFill>
          <bgColor rgb="FF00FF00"/>
        </patternFill>
      </fill>
    </dxf>
    <dxf>
      <fill>
        <patternFill>
          <bgColor rgb="FFFFFF00"/>
        </patternFill>
      </fill>
    </dxf>
    <dxf>
      <font>
        <color theme="0"/>
      </font>
      <fill>
        <patternFill>
          <bgColor rgb="FFFF0000"/>
        </patternFill>
      </fill>
    </dxf>
    <dxf>
      <fill>
        <patternFill>
          <bgColor rgb="FF00FF00"/>
        </patternFill>
      </fill>
    </dxf>
    <dxf>
      <fill>
        <patternFill>
          <bgColor rgb="FFFFFF00"/>
        </patternFill>
      </fill>
    </dxf>
    <dxf>
      <font>
        <color theme="0"/>
      </font>
      <fill>
        <patternFill>
          <bgColor rgb="FFFF0000"/>
        </patternFill>
      </fill>
    </dxf>
    <dxf>
      <fill>
        <patternFill>
          <bgColor rgb="FF00FF00"/>
        </patternFill>
      </fill>
    </dxf>
    <dxf>
      <fill>
        <patternFill>
          <bgColor rgb="FFFFFF00"/>
        </patternFill>
      </fill>
    </dxf>
    <dxf>
      <font>
        <color theme="0"/>
      </font>
      <fill>
        <patternFill>
          <bgColor rgb="FFFF0000"/>
        </patternFill>
      </fill>
    </dxf>
    <dxf>
      <fill>
        <patternFill>
          <bgColor rgb="FF00FF00"/>
        </patternFill>
      </fill>
    </dxf>
    <dxf>
      <fill>
        <patternFill>
          <bgColor rgb="FFFFFF00"/>
        </patternFill>
      </fill>
    </dxf>
    <dxf>
      <font>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
      <font>
        <b/>
        <i val="0"/>
        <color theme="0"/>
      </font>
      <fill>
        <patternFill>
          <bgColor rgb="FFFF0000"/>
        </patternFill>
      </fill>
    </dxf>
    <dxf>
      <font>
        <b/>
        <i val="0"/>
      </font>
      <fill>
        <patternFill>
          <bgColor rgb="FF00FF00"/>
        </patternFill>
      </fill>
    </dxf>
    <dxf>
      <font>
        <b/>
        <i val="0"/>
      </font>
      <fill>
        <patternFill patternType="solid">
          <fgColor auto="1"/>
          <bgColor rgb="FFFFFF00"/>
        </patternFill>
      </fill>
    </dxf>
    <dxf>
      <font>
        <b/>
        <i val="0"/>
        <color auto="1"/>
      </font>
      <fill>
        <patternFill>
          <bgColor rgb="FFFF66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90D8E2"/>
      <rgbColor rgb="00FF8080"/>
      <rgbColor rgb="000080C0"/>
      <rgbColor rgb="00E1EDFB"/>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6600"/>
      <color rgb="FF00FF00"/>
      <color rgb="FF66FF33"/>
      <color rgb="FF132863"/>
      <color rgb="FF3546E3"/>
      <color rgb="FF535AE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Elliptical Gaskets'!A5"/><Relationship Id="rId13" Type="http://schemas.openxmlformats.org/officeDocument/2006/relationships/image" Target="../media/image2.jpeg"/><Relationship Id="rId3" Type="http://schemas.openxmlformats.org/officeDocument/2006/relationships/hyperlink" Target="#'QUICK TORQUE'!A2"/><Relationship Id="rId7" Type="http://schemas.openxmlformats.org/officeDocument/2006/relationships/hyperlink" Target="#'Rectangular &amp; Square Gaskets'!A5"/><Relationship Id="rId12" Type="http://schemas.openxmlformats.org/officeDocument/2006/relationships/hyperlink" Target="#'BOLT TABLE'!A2"/><Relationship Id="rId2" Type="http://schemas.openxmlformats.org/officeDocument/2006/relationships/hyperlink" Target="#HOME!A2"/><Relationship Id="rId1" Type="http://schemas.openxmlformats.org/officeDocument/2006/relationships/hyperlink" Target="mailto:GST.GasketApps@Garlock.com?subject=Gasket%20Calculator%206.0%20question" TargetMode="External"/><Relationship Id="rId6" Type="http://schemas.openxmlformats.org/officeDocument/2006/relationships/hyperlink" Target="#'Full Face Gaskets'!A5"/><Relationship Id="rId11" Type="http://schemas.openxmlformats.org/officeDocument/2006/relationships/image" Target="../media/image1.jpeg"/><Relationship Id="rId5" Type="http://schemas.openxmlformats.org/officeDocument/2006/relationships/hyperlink" Target="#'Ring Gaskets'!A5"/><Relationship Id="rId10" Type="http://schemas.openxmlformats.org/officeDocument/2006/relationships/hyperlink" Target="https://www.garlock.com/en?utm_source=GasketCalculator6&amp;utm_medium=pdf&amp;utm_content=resources&amp;utm_campaign=std" TargetMode="External"/><Relationship Id="rId4" Type="http://schemas.openxmlformats.org/officeDocument/2006/relationships/hyperlink" Target="#G.S.T.!A6"/><Relationship Id="rId9" Type="http://schemas.openxmlformats.org/officeDocument/2006/relationships/hyperlink" Target="#'Obround Gasket'!A5"/></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jpeg"/><Relationship Id="rId18" Type="http://schemas.openxmlformats.org/officeDocument/2006/relationships/image" Target="../media/image20.jpeg"/><Relationship Id="rId26" Type="http://schemas.openxmlformats.org/officeDocument/2006/relationships/image" Target="../media/image28.jpeg"/><Relationship Id="rId39" Type="http://schemas.openxmlformats.org/officeDocument/2006/relationships/hyperlink" Target="#'Obround Gasket'!A5"/><Relationship Id="rId3" Type="http://schemas.openxmlformats.org/officeDocument/2006/relationships/image" Target="../media/image5.jpeg"/><Relationship Id="rId21" Type="http://schemas.openxmlformats.org/officeDocument/2006/relationships/image" Target="../media/image23.jpeg"/><Relationship Id="rId34" Type="http://schemas.openxmlformats.org/officeDocument/2006/relationships/hyperlink" Target="#G.S.T.!A6"/><Relationship Id="rId42" Type="http://schemas.openxmlformats.org/officeDocument/2006/relationships/hyperlink" Target="#'BOLT TABLE'!A2"/><Relationship Id="rId7" Type="http://schemas.openxmlformats.org/officeDocument/2006/relationships/image" Target="../media/image9.jpeg"/><Relationship Id="rId12" Type="http://schemas.openxmlformats.org/officeDocument/2006/relationships/image" Target="../media/image14.jpeg"/><Relationship Id="rId17" Type="http://schemas.openxmlformats.org/officeDocument/2006/relationships/image" Target="../media/image19.png"/><Relationship Id="rId25" Type="http://schemas.openxmlformats.org/officeDocument/2006/relationships/image" Target="../media/image27.jpeg"/><Relationship Id="rId33" Type="http://schemas.openxmlformats.org/officeDocument/2006/relationships/hyperlink" Target="#'QUICK TORQUE'!A2"/><Relationship Id="rId38" Type="http://schemas.openxmlformats.org/officeDocument/2006/relationships/hyperlink" Target="#'Elliptical Gaskets'!A5"/><Relationship Id="rId2" Type="http://schemas.openxmlformats.org/officeDocument/2006/relationships/image" Target="../media/image4.jpeg"/><Relationship Id="rId16" Type="http://schemas.openxmlformats.org/officeDocument/2006/relationships/image" Target="../media/image18.jpeg"/><Relationship Id="rId20" Type="http://schemas.openxmlformats.org/officeDocument/2006/relationships/image" Target="../media/image22.jpeg"/><Relationship Id="rId29" Type="http://schemas.openxmlformats.org/officeDocument/2006/relationships/image" Target="../media/image31.png"/><Relationship Id="rId41" Type="http://schemas.openxmlformats.org/officeDocument/2006/relationships/image" Target="../media/image1.jpeg"/><Relationship Id="rId1" Type="http://schemas.openxmlformats.org/officeDocument/2006/relationships/image" Target="../media/image3.jpeg"/><Relationship Id="rId6" Type="http://schemas.openxmlformats.org/officeDocument/2006/relationships/image" Target="../media/image8.jpeg"/><Relationship Id="rId11" Type="http://schemas.openxmlformats.org/officeDocument/2006/relationships/image" Target="../media/image13.jpeg"/><Relationship Id="rId24" Type="http://schemas.openxmlformats.org/officeDocument/2006/relationships/image" Target="../media/image26.jpeg"/><Relationship Id="rId32" Type="http://schemas.openxmlformats.org/officeDocument/2006/relationships/hyperlink" Target="#HOME!A2"/><Relationship Id="rId37" Type="http://schemas.openxmlformats.org/officeDocument/2006/relationships/hyperlink" Target="#'Rectangular &amp; Square Gaskets'!A5"/><Relationship Id="rId40" Type="http://schemas.openxmlformats.org/officeDocument/2006/relationships/hyperlink" Target="https://www.garlock.com/en?utm_source=GasketCalculator6&amp;utm_medium=pdf&amp;utm_content=resources&amp;utm_campaign=std" TargetMode="External"/><Relationship Id="rId5" Type="http://schemas.openxmlformats.org/officeDocument/2006/relationships/image" Target="../media/image7.jpeg"/><Relationship Id="rId15" Type="http://schemas.openxmlformats.org/officeDocument/2006/relationships/image" Target="../media/image17.png"/><Relationship Id="rId23" Type="http://schemas.openxmlformats.org/officeDocument/2006/relationships/image" Target="../media/image25.jpeg"/><Relationship Id="rId28" Type="http://schemas.openxmlformats.org/officeDocument/2006/relationships/image" Target="../media/image30.png"/><Relationship Id="rId36" Type="http://schemas.openxmlformats.org/officeDocument/2006/relationships/hyperlink" Target="#'Full Face Gaskets'!A5"/><Relationship Id="rId10" Type="http://schemas.openxmlformats.org/officeDocument/2006/relationships/image" Target="../media/image12.jpeg"/><Relationship Id="rId19" Type="http://schemas.openxmlformats.org/officeDocument/2006/relationships/image" Target="../media/image21.jpeg"/><Relationship Id="rId31" Type="http://schemas.openxmlformats.org/officeDocument/2006/relationships/hyperlink" Target="mailto:GST.GasketApps@Garlock.com?subject=Gasket%20Calculator%206.0%20question" TargetMode="External"/><Relationship Id="rId4" Type="http://schemas.openxmlformats.org/officeDocument/2006/relationships/image" Target="../media/image6.jpeg"/><Relationship Id="rId9" Type="http://schemas.openxmlformats.org/officeDocument/2006/relationships/image" Target="../media/image11.jpeg"/><Relationship Id="rId14" Type="http://schemas.openxmlformats.org/officeDocument/2006/relationships/image" Target="../media/image16.png"/><Relationship Id="rId22" Type="http://schemas.openxmlformats.org/officeDocument/2006/relationships/image" Target="../media/image24.jpeg"/><Relationship Id="rId27" Type="http://schemas.openxmlformats.org/officeDocument/2006/relationships/image" Target="../media/image29.png"/><Relationship Id="rId30" Type="http://schemas.openxmlformats.org/officeDocument/2006/relationships/image" Target="../media/image32.png"/><Relationship Id="rId35" Type="http://schemas.openxmlformats.org/officeDocument/2006/relationships/hyperlink" Target="#'Ring Gaskets'!A5"/></Relationships>
</file>

<file path=xl/drawings/_rels/drawing3.xml.rels><?xml version="1.0" encoding="UTF-8" standalone="yes"?>
<Relationships xmlns="http://schemas.openxmlformats.org/package/2006/relationships"><Relationship Id="rId8" Type="http://schemas.openxmlformats.org/officeDocument/2006/relationships/hyperlink" Target="#'Ring Gaskets'!A5"/><Relationship Id="rId13" Type="http://schemas.openxmlformats.org/officeDocument/2006/relationships/hyperlink" Target="https://www.garlock.com/en?utm_source=GasketCalculator6&amp;utm_medium=pdf&amp;utm_content=resources&amp;utm_campaign=std" TargetMode="External"/><Relationship Id="rId3" Type="http://schemas.openxmlformats.org/officeDocument/2006/relationships/hyperlink" Target="#'Table 1'!A1"/><Relationship Id="rId7" Type="http://schemas.openxmlformats.org/officeDocument/2006/relationships/hyperlink" Target="#G.S.T.!A6"/><Relationship Id="rId12" Type="http://schemas.openxmlformats.org/officeDocument/2006/relationships/hyperlink" Target="#'Obround Gasket'!A5"/><Relationship Id="rId2" Type="http://schemas.openxmlformats.org/officeDocument/2006/relationships/hyperlink" Target="#'&quot;Race Track&quot; Diagram'!A1"/><Relationship Id="rId16" Type="http://schemas.openxmlformats.org/officeDocument/2006/relationships/image" Target="../media/image33.jpg"/><Relationship Id="rId1" Type="http://schemas.openxmlformats.org/officeDocument/2006/relationships/hyperlink" Target="#'Calculator Introduction'!A1"/><Relationship Id="rId6" Type="http://schemas.openxmlformats.org/officeDocument/2006/relationships/hyperlink" Target="#'QUICK TORQUE'!A2"/><Relationship Id="rId11" Type="http://schemas.openxmlformats.org/officeDocument/2006/relationships/hyperlink" Target="#'Elliptical Gaskets'!A5"/><Relationship Id="rId5" Type="http://schemas.openxmlformats.org/officeDocument/2006/relationships/hyperlink" Target="#HOME!A2"/><Relationship Id="rId15" Type="http://schemas.openxmlformats.org/officeDocument/2006/relationships/hyperlink" Target="#'BOLT TABLE'!A2"/><Relationship Id="rId10" Type="http://schemas.openxmlformats.org/officeDocument/2006/relationships/hyperlink" Target="#'Rectangular &amp; Square Gaskets'!A5"/><Relationship Id="rId4" Type="http://schemas.openxmlformats.org/officeDocument/2006/relationships/hyperlink" Target="mailto:GST.GasketApps@Garlock.com?subject=Gasket%20Calculator%206.0%20question" TargetMode="External"/><Relationship Id="rId9" Type="http://schemas.openxmlformats.org/officeDocument/2006/relationships/hyperlink" Target="#'Full Face Gaskets'!A5"/><Relationship Id="rId14" Type="http://schemas.openxmlformats.org/officeDocument/2006/relationships/image" Target="../media/image1.jpeg"/></Relationships>
</file>

<file path=xl/drawings/_rels/drawing4.xml.rels><?xml version="1.0" encoding="UTF-8" standalone="yes"?>
<Relationships xmlns="http://schemas.openxmlformats.org/package/2006/relationships"><Relationship Id="rId8" Type="http://schemas.openxmlformats.org/officeDocument/2006/relationships/hyperlink" Target="#'QUICK TORQUE'!A2"/><Relationship Id="rId13" Type="http://schemas.openxmlformats.org/officeDocument/2006/relationships/hyperlink" Target="#'Elliptical Gaskets'!A5"/><Relationship Id="rId3" Type="http://schemas.openxmlformats.org/officeDocument/2006/relationships/hyperlink" Target="https://www.garlock.com/en/technical-resources/engineering-data-and-tools?field_product_type_tid_selective=691&amp;field_file_classification_tid_selective=77&amp;utm_source=GasketCalculator6&amp;utm_medium=pdf&amp;utm_content=resources&amp;utm_campaign=std" TargetMode="External"/><Relationship Id="rId7" Type="http://schemas.openxmlformats.org/officeDocument/2006/relationships/hyperlink" Target="#HOME!A2"/><Relationship Id="rId12" Type="http://schemas.openxmlformats.org/officeDocument/2006/relationships/hyperlink" Target="#'Rectangular &amp; Square Gaskets'!A5"/><Relationship Id="rId2" Type="http://schemas.openxmlformats.org/officeDocument/2006/relationships/hyperlink" Target="https://www.garlock.com/en/technical-resources/engineering-data-and-tools?field_product_type_tid_selective=691&amp;field_file_classification_tid_selective=All&amp;utm_source=GasketCalculator6&amp;utm_medium=pdf&amp;utm_content=resources&amp;utm_campaign=std" TargetMode="External"/><Relationship Id="rId16" Type="http://schemas.openxmlformats.org/officeDocument/2006/relationships/hyperlink" Target="#'BOLT TABLE'!A2"/><Relationship Id="rId1" Type="http://schemas.openxmlformats.org/officeDocument/2006/relationships/hyperlink" Target="https://www.garlock.com/en?utm_source=GasketCalculator6&amp;utm_medium=pdf&amp;utm_content=resources&amp;utm_campaign=std" TargetMode="External"/><Relationship Id="rId6" Type="http://schemas.openxmlformats.org/officeDocument/2006/relationships/hyperlink" Target="mailto:GST.GasketApps@Garlock.com?subject=Gasket%20Calculator%206.0%20question" TargetMode="External"/><Relationship Id="rId11" Type="http://schemas.openxmlformats.org/officeDocument/2006/relationships/hyperlink" Target="#'Full Face Gaskets'!A5"/><Relationship Id="rId5" Type="http://schemas.openxmlformats.org/officeDocument/2006/relationships/image" Target="../media/image34.jpg"/><Relationship Id="rId15" Type="http://schemas.openxmlformats.org/officeDocument/2006/relationships/image" Target="../media/image1.jpeg"/><Relationship Id="rId10" Type="http://schemas.openxmlformats.org/officeDocument/2006/relationships/hyperlink" Target="#'Ring Gaskets'!A5"/><Relationship Id="rId4" Type="http://schemas.openxmlformats.org/officeDocument/2006/relationships/hyperlink" Target="https://www.garlock.com/en/services/garlock-selector?utm_source=GasketCalculator6&amp;utm_medium=resourcebutton&amp;utm_term=productselector" TargetMode="External"/><Relationship Id="rId9" Type="http://schemas.openxmlformats.org/officeDocument/2006/relationships/hyperlink" Target="#G.S.T.!A6"/><Relationship Id="rId14" Type="http://schemas.openxmlformats.org/officeDocument/2006/relationships/hyperlink" Target="#'Obround Gasket'!A5"/></Relationships>
</file>

<file path=xl/drawings/_rels/drawing5.xml.rels><?xml version="1.0" encoding="UTF-8" standalone="yes"?>
<Relationships xmlns="http://schemas.openxmlformats.org/package/2006/relationships"><Relationship Id="rId8" Type="http://schemas.openxmlformats.org/officeDocument/2006/relationships/hyperlink" Target="#'QUICK TORQUE'!A2"/><Relationship Id="rId13" Type="http://schemas.openxmlformats.org/officeDocument/2006/relationships/hyperlink" Target="#'Elliptical Gaskets'!A5"/><Relationship Id="rId3" Type="http://schemas.openxmlformats.org/officeDocument/2006/relationships/hyperlink" Target="https://www.garlock.com/en/technical-resources/engineering-data-and-tools?field_product_type_tid_selective=691&amp;field_file_classification_tid_selective=77&amp;utm_source=GasketCalculator6&amp;utm_medium=pdf&amp;utm_content=resources&amp;utm_campaign=std" TargetMode="External"/><Relationship Id="rId7" Type="http://schemas.openxmlformats.org/officeDocument/2006/relationships/hyperlink" Target="#HOME!A2"/><Relationship Id="rId12" Type="http://schemas.openxmlformats.org/officeDocument/2006/relationships/hyperlink" Target="#'Rectangular &amp; Square Gaskets'!A5"/><Relationship Id="rId2" Type="http://schemas.openxmlformats.org/officeDocument/2006/relationships/hyperlink" Target="https://www.garlock.com/en/technical-resources/engineering-data-and-tools?field_product_type_tid_selective=691&amp;field_file_classification_tid_selective=All&amp;utm_source=GasketCalculator6&amp;utm_medium=pdf&amp;utm_content=resources&amp;utm_campaign=std" TargetMode="External"/><Relationship Id="rId16" Type="http://schemas.openxmlformats.org/officeDocument/2006/relationships/hyperlink" Target="#'BOLT TABLE'!A2"/><Relationship Id="rId1" Type="http://schemas.openxmlformats.org/officeDocument/2006/relationships/hyperlink" Target="https://www.garlock.com/en?utm_source=GasketCalculator6&amp;utm_medium=pdf&amp;utm_content=resources&amp;utm_campaign=std" TargetMode="External"/><Relationship Id="rId6" Type="http://schemas.openxmlformats.org/officeDocument/2006/relationships/hyperlink" Target="mailto:GST.GasketApps@Garlock.com?subject=Gasket%20Calculator%206.0%20question" TargetMode="External"/><Relationship Id="rId11" Type="http://schemas.openxmlformats.org/officeDocument/2006/relationships/hyperlink" Target="#'Full Face Gaskets'!A5"/><Relationship Id="rId5" Type="http://schemas.openxmlformats.org/officeDocument/2006/relationships/image" Target="../media/image35.jpg"/><Relationship Id="rId15" Type="http://schemas.openxmlformats.org/officeDocument/2006/relationships/image" Target="../media/image1.jpeg"/><Relationship Id="rId10" Type="http://schemas.openxmlformats.org/officeDocument/2006/relationships/hyperlink" Target="#'Ring Gaskets'!A5"/><Relationship Id="rId4" Type="http://schemas.openxmlformats.org/officeDocument/2006/relationships/hyperlink" Target="https://www.garlock.com/en/services/garlock-selector?utm_source=GasketCalculator6&amp;utm_medium=pdf&amp;utm_content=resources&amp;utm_campaign=std" TargetMode="External"/><Relationship Id="rId9" Type="http://schemas.openxmlformats.org/officeDocument/2006/relationships/hyperlink" Target="#G.S.T.!A6"/><Relationship Id="rId14" Type="http://schemas.openxmlformats.org/officeDocument/2006/relationships/hyperlink" Target="#'Obround Gasket'!A5"/></Relationships>
</file>

<file path=xl/drawings/_rels/drawing6.xml.rels><?xml version="1.0" encoding="UTF-8" standalone="yes"?>
<Relationships xmlns="http://schemas.openxmlformats.org/package/2006/relationships"><Relationship Id="rId8" Type="http://schemas.openxmlformats.org/officeDocument/2006/relationships/hyperlink" Target="#'QUICK TORQUE'!A2"/><Relationship Id="rId13" Type="http://schemas.openxmlformats.org/officeDocument/2006/relationships/hyperlink" Target="#'Elliptical Gaskets'!A5"/><Relationship Id="rId3" Type="http://schemas.openxmlformats.org/officeDocument/2006/relationships/hyperlink" Target="https://www.garlock.com/en/technical-resources/engineering-data-and-tools?field_product_type_tid_selective=691&amp;field_file_classification_tid_selective=77&amp;utm_source=GasketCalculator6&amp;utm_medium=pdf&amp;utm_content=resources&amp;utm_campaign=std" TargetMode="External"/><Relationship Id="rId7" Type="http://schemas.openxmlformats.org/officeDocument/2006/relationships/hyperlink" Target="#HOME!A2"/><Relationship Id="rId12" Type="http://schemas.openxmlformats.org/officeDocument/2006/relationships/hyperlink" Target="#'Rectangular &amp; Square Gaskets'!A5"/><Relationship Id="rId2" Type="http://schemas.openxmlformats.org/officeDocument/2006/relationships/hyperlink" Target="https://www.garlock.com/en/technical-resources/engineering-data-and-tools?field_product_type_tid_selective=691&amp;field_file_classification_tid_selective=All&amp;utm_source=GasketCalculator6&amp;utm_medium=pdf&amp;utm_content=resources&amp;utm_campaign=std" TargetMode="External"/><Relationship Id="rId16" Type="http://schemas.openxmlformats.org/officeDocument/2006/relationships/hyperlink" Target="#'BOLT TABLE'!A2"/><Relationship Id="rId1" Type="http://schemas.openxmlformats.org/officeDocument/2006/relationships/hyperlink" Target="https://www.garlock.com/en?utm_source=GasketCalculator6&amp;utm_medium=pdf&amp;utm_content=resources&amp;utm_campaign=std" TargetMode="External"/><Relationship Id="rId6" Type="http://schemas.openxmlformats.org/officeDocument/2006/relationships/hyperlink" Target="mailto:GST.GasketApps@Garlock.com?subject=Gasket%20Calculator%206.0%20question" TargetMode="External"/><Relationship Id="rId11" Type="http://schemas.openxmlformats.org/officeDocument/2006/relationships/hyperlink" Target="#'Full Face Gaskets'!A5"/><Relationship Id="rId5" Type="http://schemas.openxmlformats.org/officeDocument/2006/relationships/image" Target="../media/image36.jpg"/><Relationship Id="rId15" Type="http://schemas.openxmlformats.org/officeDocument/2006/relationships/image" Target="../media/image1.jpeg"/><Relationship Id="rId10" Type="http://schemas.openxmlformats.org/officeDocument/2006/relationships/hyperlink" Target="#'Ring Gaskets'!A5"/><Relationship Id="rId4" Type="http://schemas.openxmlformats.org/officeDocument/2006/relationships/hyperlink" Target="https://www.garlock.com/en/services/garlock-selector?utm_source=GasketCalculator6&amp;utm_medium=pdf&amp;utm_content=resources&amp;utm_campaign=std" TargetMode="External"/><Relationship Id="rId9" Type="http://schemas.openxmlformats.org/officeDocument/2006/relationships/hyperlink" Target="#G.S.T.!A6"/><Relationship Id="rId14" Type="http://schemas.openxmlformats.org/officeDocument/2006/relationships/hyperlink" Target="#'Obround Gasket'!A5"/></Relationships>
</file>

<file path=xl/drawings/_rels/drawing7.xml.rels><?xml version="1.0" encoding="UTF-8" standalone="yes"?>
<Relationships xmlns="http://schemas.openxmlformats.org/package/2006/relationships"><Relationship Id="rId8" Type="http://schemas.openxmlformats.org/officeDocument/2006/relationships/hyperlink" Target="#'QUICK TORQUE'!A2"/><Relationship Id="rId13" Type="http://schemas.openxmlformats.org/officeDocument/2006/relationships/hyperlink" Target="#'Elliptical Gaskets'!A5"/><Relationship Id="rId3" Type="http://schemas.openxmlformats.org/officeDocument/2006/relationships/hyperlink" Target="https://www.garlock.com/en/technical-resources/engineering-data-and-tools?field_product_type_tid_selective=691&amp;field_file_classification_tid_selective=77&amp;utm_source=GasketCalculator6&amp;utm_medium=pdf&amp;utm_content=resources&amp;utm_campaign=std" TargetMode="External"/><Relationship Id="rId7" Type="http://schemas.openxmlformats.org/officeDocument/2006/relationships/hyperlink" Target="#HOME!A2"/><Relationship Id="rId12" Type="http://schemas.openxmlformats.org/officeDocument/2006/relationships/hyperlink" Target="#'Rectangular &amp; Square Gaskets'!A5"/><Relationship Id="rId2" Type="http://schemas.openxmlformats.org/officeDocument/2006/relationships/hyperlink" Target="https://www.garlock.com/en/technical-resources/engineering-data-and-tools?field_product_type_tid_selective=691&amp;field_file_classification_tid_selective=All&amp;utm_source=GasketCalculator6&amp;utm_medium=pdf&amp;utm_content=resources&amp;utm_campaign=std" TargetMode="External"/><Relationship Id="rId16" Type="http://schemas.openxmlformats.org/officeDocument/2006/relationships/hyperlink" Target="#'BOLT TABLE'!A2"/><Relationship Id="rId1" Type="http://schemas.openxmlformats.org/officeDocument/2006/relationships/hyperlink" Target="https://www.garlock.com/en?utm_source=GasketCalculator6&amp;utm_medium=pdf&amp;utm_content=resources&amp;utm_campaign=std" TargetMode="External"/><Relationship Id="rId6" Type="http://schemas.openxmlformats.org/officeDocument/2006/relationships/hyperlink" Target="mailto:GST.GasketApps@Garlock.com?subject=Gasket%20Calculator%206.0%20question" TargetMode="External"/><Relationship Id="rId11" Type="http://schemas.openxmlformats.org/officeDocument/2006/relationships/hyperlink" Target="#'Full Face Gaskets'!A5"/><Relationship Id="rId5" Type="http://schemas.openxmlformats.org/officeDocument/2006/relationships/image" Target="../media/image37.jpg"/><Relationship Id="rId15" Type="http://schemas.openxmlformats.org/officeDocument/2006/relationships/image" Target="../media/image1.jpeg"/><Relationship Id="rId10" Type="http://schemas.openxmlformats.org/officeDocument/2006/relationships/hyperlink" Target="#'Ring Gaskets'!A5"/><Relationship Id="rId4" Type="http://schemas.openxmlformats.org/officeDocument/2006/relationships/hyperlink" Target="https://www.garlock.com/en/services/garlock-selector?utm_source=GasketCalculator6&amp;utm_medium=pdf&amp;utm_content=resources&amp;utm_campaign=std" TargetMode="External"/><Relationship Id="rId9" Type="http://schemas.openxmlformats.org/officeDocument/2006/relationships/hyperlink" Target="#G.S.T.!A6"/><Relationship Id="rId14" Type="http://schemas.openxmlformats.org/officeDocument/2006/relationships/hyperlink" Target="#'Obround Gasket'!A5"/></Relationships>
</file>

<file path=xl/drawings/_rels/drawing8.xml.rels><?xml version="1.0" encoding="UTF-8" standalone="yes"?>
<Relationships xmlns="http://schemas.openxmlformats.org/package/2006/relationships"><Relationship Id="rId8" Type="http://schemas.openxmlformats.org/officeDocument/2006/relationships/hyperlink" Target="#'Rectangular &amp; Square Gaskets'!A5"/><Relationship Id="rId13" Type="http://schemas.openxmlformats.org/officeDocument/2006/relationships/hyperlink" Target="#'BOLT TABLE'!A2"/><Relationship Id="rId3" Type="http://schemas.openxmlformats.org/officeDocument/2006/relationships/hyperlink" Target="#HOME!A2"/><Relationship Id="rId7" Type="http://schemas.openxmlformats.org/officeDocument/2006/relationships/hyperlink" Target="#'Full Face Gaskets'!A5"/><Relationship Id="rId12" Type="http://schemas.openxmlformats.org/officeDocument/2006/relationships/image" Target="../media/image1.jpeg"/><Relationship Id="rId2" Type="http://schemas.openxmlformats.org/officeDocument/2006/relationships/hyperlink" Target="mailto:GST.GasketApps@Garlock.com?subject=Gasket%20Calculator%206.0%20question" TargetMode="External"/><Relationship Id="rId16" Type="http://schemas.openxmlformats.org/officeDocument/2006/relationships/hyperlink" Target="https://www.garlock.com/en/services/garlock-selector?utm_source=GasketCalculator6&amp;utm_medium=pdf&amp;utm_content=resources&amp;utm_campaign=std" TargetMode="External"/><Relationship Id="rId1" Type="http://schemas.openxmlformats.org/officeDocument/2006/relationships/image" Target="../media/image38.jpg"/><Relationship Id="rId6" Type="http://schemas.openxmlformats.org/officeDocument/2006/relationships/hyperlink" Target="#'Ring Gaskets'!A5"/><Relationship Id="rId11" Type="http://schemas.openxmlformats.org/officeDocument/2006/relationships/hyperlink" Target="https://www.garlock.com/en?utm_source=GasketCalculator6&amp;utm_medium=pdf&amp;utm_content=resources&amp;utm_campaign=std" TargetMode="External"/><Relationship Id="rId5" Type="http://schemas.openxmlformats.org/officeDocument/2006/relationships/hyperlink" Target="#G.S.T.!A6"/><Relationship Id="rId15" Type="http://schemas.openxmlformats.org/officeDocument/2006/relationships/hyperlink" Target="https://www.garlock.com/en/technical-resources/engineering-data-and-tools?field_product_type_tid_selective=691&amp;field_file_classification_tid_selective=77&amp;utm_source=GasketCalculator6&amp;utm_medium=pdf&amp;utm_content=resources&amp;utm_campaign=std" TargetMode="External"/><Relationship Id="rId10" Type="http://schemas.openxmlformats.org/officeDocument/2006/relationships/hyperlink" Target="#'Obround Gasket'!A5"/><Relationship Id="rId4" Type="http://schemas.openxmlformats.org/officeDocument/2006/relationships/hyperlink" Target="#'QUICK TORQUE'!A2"/><Relationship Id="rId9" Type="http://schemas.openxmlformats.org/officeDocument/2006/relationships/hyperlink" Target="#'Elliptical Gaskets'!A5"/><Relationship Id="rId14" Type="http://schemas.openxmlformats.org/officeDocument/2006/relationships/hyperlink" Target="https://www.garlock.com/en/technical-resources/engineering-data-and-tools?field_product_type_tid_selective=691&amp;field_file_classification_tid_selective=All&amp;utm_source=GasketCalculator6&amp;utm_medium=pdf&amp;utm_content=resources&amp;utm_campaign=std" TargetMode="External"/></Relationships>
</file>

<file path=xl/drawings/_rels/drawing9.xml.rels><?xml version="1.0" encoding="UTF-8" standalone="yes"?>
<Relationships xmlns="http://schemas.openxmlformats.org/package/2006/relationships"><Relationship Id="rId8" Type="http://schemas.openxmlformats.org/officeDocument/2006/relationships/hyperlink" Target="#G.S.T.!A2"/><Relationship Id="rId13" Type="http://schemas.openxmlformats.org/officeDocument/2006/relationships/hyperlink" Target="#'Obround Gasket'!A2"/><Relationship Id="rId3" Type="http://schemas.openxmlformats.org/officeDocument/2006/relationships/hyperlink" Target="#'&quot;Race Track&quot; Diagram'!A1"/><Relationship Id="rId7" Type="http://schemas.openxmlformats.org/officeDocument/2006/relationships/hyperlink" Target="#'QUICK TORQUE'!A2"/><Relationship Id="rId12" Type="http://schemas.openxmlformats.org/officeDocument/2006/relationships/hyperlink" Target="#'Elliptical Gaskets'!A2"/><Relationship Id="rId2" Type="http://schemas.openxmlformats.org/officeDocument/2006/relationships/hyperlink" Target="#'&quot;Race Track&quot; Gaskets'!A1"/><Relationship Id="rId16" Type="http://schemas.openxmlformats.org/officeDocument/2006/relationships/hyperlink" Target="#'BOLT TABLE'!A2"/><Relationship Id="rId1" Type="http://schemas.openxmlformats.org/officeDocument/2006/relationships/hyperlink" Target="#'Calculator Introduction'!A1"/><Relationship Id="rId6" Type="http://schemas.openxmlformats.org/officeDocument/2006/relationships/hyperlink" Target="#HOME!A2"/><Relationship Id="rId11" Type="http://schemas.openxmlformats.org/officeDocument/2006/relationships/hyperlink" Target="#'Rectangular &amp; Square Gaskets'!A2"/><Relationship Id="rId5" Type="http://schemas.openxmlformats.org/officeDocument/2006/relationships/hyperlink" Target="mailto:GST.GasketApps@Garlock.com?subject=Gasket%20Calculator%206.0%20question" TargetMode="External"/><Relationship Id="rId15" Type="http://schemas.openxmlformats.org/officeDocument/2006/relationships/image" Target="../media/image1.jpeg"/><Relationship Id="rId10" Type="http://schemas.openxmlformats.org/officeDocument/2006/relationships/hyperlink" Target="#'Full Face Gaskets'!A2"/><Relationship Id="rId4" Type="http://schemas.openxmlformats.org/officeDocument/2006/relationships/hyperlink" Target="#'Table 1'!A1"/><Relationship Id="rId9" Type="http://schemas.openxmlformats.org/officeDocument/2006/relationships/hyperlink" Target="#'Ring Gaskets'!A2"/><Relationship Id="rId14" Type="http://schemas.openxmlformats.org/officeDocument/2006/relationships/hyperlink" Target="https://www.garlock.com/en?utm_source=GasketCalculator6&amp;utm_medium=pdf&amp;utm_content=resources&amp;utm_campaign=std"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134472</xdr:rowOff>
    </xdr:from>
    <xdr:to>
      <xdr:col>15</xdr:col>
      <xdr:colOff>0</xdr:colOff>
      <xdr:row>0</xdr:row>
      <xdr:rowOff>1332780</xdr:rowOff>
    </xdr:to>
    <xdr:grpSp>
      <xdr:nvGrpSpPr>
        <xdr:cNvPr id="7" name="Group 6"/>
        <xdr:cNvGrpSpPr/>
      </xdr:nvGrpSpPr>
      <xdr:grpSpPr>
        <a:xfrm>
          <a:off x="0" y="134472"/>
          <a:ext cx="10874188" cy="1198308"/>
          <a:chOff x="0" y="134472"/>
          <a:chExt cx="10874188" cy="1198308"/>
        </a:xfrm>
      </xdr:grpSpPr>
      <xdr:sp macro="" textlink="">
        <xdr:nvSpPr>
          <xdr:cNvPr id="16" name="Round Same Side Corner Rectangle 15">
            <a:hlinkClick xmlns:r="http://schemas.openxmlformats.org/officeDocument/2006/relationships" r:id="rId1"/>
          </xdr:cNvPr>
          <xdr:cNvSpPr/>
        </xdr:nvSpPr>
        <xdr:spPr bwMode="auto">
          <a:xfrm flipV="1">
            <a:off x="9834319" y="896471"/>
            <a:ext cx="1012974"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TECHNICAL</a:t>
            </a:r>
            <a:r>
              <a:rPr lang="en-US" sz="1100" b="1" baseline="0">
                <a:solidFill>
                  <a:schemeClr val="bg1"/>
                </a:solidFill>
              </a:rPr>
              <a:t> SUPPORT</a:t>
            </a:r>
            <a:endParaRPr lang="en-US" sz="1100" b="1">
              <a:solidFill>
                <a:schemeClr val="bg1"/>
              </a:solidFill>
            </a:endParaRPr>
          </a:p>
        </xdr:txBody>
      </xdr:sp>
      <xdr:sp macro="" textlink="">
        <xdr:nvSpPr>
          <xdr:cNvPr id="53" name="Round Same Side Corner Rectangle 52">
            <a:hlinkClick xmlns:r="http://schemas.openxmlformats.org/officeDocument/2006/relationships" r:id="rId2"/>
          </xdr:cNvPr>
          <xdr:cNvSpPr/>
        </xdr:nvSpPr>
        <xdr:spPr bwMode="auto">
          <a:xfrm flipV="1">
            <a:off x="1" y="896497"/>
            <a:ext cx="1008471"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HOME</a:t>
            </a:r>
          </a:p>
        </xdr:txBody>
      </xdr:sp>
      <xdr:sp macro="" textlink="">
        <xdr:nvSpPr>
          <xdr:cNvPr id="1077" name="WordArt 53"/>
          <xdr:cNvSpPr>
            <a:spLocks noChangeArrowheads="1" noChangeShapeType="1" noTextEdit="1"/>
          </xdr:cNvSpPr>
        </xdr:nvSpPr>
        <xdr:spPr bwMode="auto">
          <a:xfrm>
            <a:off x="6947646" y="233082"/>
            <a:ext cx="3729319" cy="286871"/>
          </a:xfrm>
          <a:prstGeom prst="rect">
            <a:avLst/>
          </a:prstGeom>
        </xdr:spPr>
        <xdr:txBody>
          <a:bodyPr wrap="none" fromWordArt="1">
            <a:prstTxWarp prst="textPlain">
              <a:avLst>
                <a:gd name="adj" fmla="val 50000"/>
              </a:avLst>
            </a:prstTxWarp>
          </a:bodyPr>
          <a:lstStyle/>
          <a:p>
            <a:pPr algn="ctr" rtl="0"/>
            <a:r>
              <a:rPr lang="en-US" sz="4800" b="0" i="1" kern="10" spc="0">
                <a:ln w="9525">
                  <a:solidFill>
                    <a:schemeClr val="tx1"/>
                  </a:solidFill>
                  <a:round/>
                  <a:headEnd/>
                  <a:tailEnd/>
                </a:ln>
                <a:gradFill flip="none" rotWithShape="1">
                  <a:gsLst>
                    <a:gs pos="0">
                      <a:srgbClr val="FFFFFF"/>
                    </a:gs>
                    <a:gs pos="7001">
                      <a:srgbClr val="E6E6E6"/>
                    </a:gs>
                    <a:gs pos="32001">
                      <a:schemeClr val="bg1">
                        <a:lumMod val="75000"/>
                      </a:schemeClr>
                    </a:gs>
                    <a:gs pos="47000">
                      <a:srgbClr val="E6E6E6"/>
                    </a:gs>
                    <a:gs pos="85001">
                      <a:schemeClr val="bg1">
                        <a:lumMod val="75000"/>
                      </a:schemeClr>
                    </a:gs>
                    <a:gs pos="100000">
                      <a:srgbClr val="E6E6E6"/>
                    </a:gs>
                  </a:gsLst>
                  <a:lin ang="2700000" scaled="1"/>
                  <a:tileRect/>
                </a:gradFill>
                <a:effectLst>
                  <a:outerShdw dist="35921" dir="2700000" algn="ctr" rotWithShape="0">
                    <a:srgbClr val="000000"/>
                  </a:outerShdw>
                </a:effectLst>
                <a:latin typeface="Impact" panose="020B0806030902050204" pitchFamily="34" charset="0"/>
              </a:rPr>
              <a:t>Gasket Calculator 6.0</a:t>
            </a:r>
          </a:p>
        </xdr:txBody>
      </xdr:sp>
      <xdr:sp macro="" textlink="">
        <xdr:nvSpPr>
          <xdr:cNvPr id="2" name="Round Same Side Corner Rectangle 1">
            <a:hlinkClick xmlns:r="http://schemas.openxmlformats.org/officeDocument/2006/relationships" r:id="rId3"/>
          </xdr:cNvPr>
          <xdr:cNvSpPr/>
        </xdr:nvSpPr>
        <xdr:spPr bwMode="auto">
          <a:xfrm flipV="1">
            <a:off x="1093731" y="896497"/>
            <a:ext cx="1008471"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QUICK</a:t>
            </a:r>
            <a:r>
              <a:rPr lang="en-US" sz="1100" b="1" baseline="0">
                <a:solidFill>
                  <a:schemeClr val="bg1"/>
                </a:solidFill>
              </a:rPr>
              <a:t> </a:t>
            </a:r>
            <a:r>
              <a:rPr lang="en-US" sz="1100" b="1">
                <a:solidFill>
                  <a:schemeClr val="bg1"/>
                </a:solidFill>
              </a:rPr>
              <a:t>TORQUE</a:t>
            </a:r>
          </a:p>
        </xdr:txBody>
      </xdr:sp>
      <xdr:sp macro="" textlink="">
        <xdr:nvSpPr>
          <xdr:cNvPr id="40" name="Round Same Side Corner Rectangle 39">
            <a:hlinkClick xmlns:r="http://schemas.openxmlformats.org/officeDocument/2006/relationships" r:id="rId4"/>
          </xdr:cNvPr>
          <xdr:cNvSpPr/>
        </xdr:nvSpPr>
        <xdr:spPr bwMode="auto">
          <a:xfrm flipV="1">
            <a:off x="2187806" y="896497"/>
            <a:ext cx="1010967"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G.S.T.</a:t>
            </a:r>
          </a:p>
        </xdr:txBody>
      </xdr:sp>
      <xdr:sp macro="" textlink="">
        <xdr:nvSpPr>
          <xdr:cNvPr id="41" name="Round Same Side Corner Rectangle 40">
            <a:hlinkClick xmlns:r="http://schemas.openxmlformats.org/officeDocument/2006/relationships" r:id="rId5"/>
          </xdr:cNvPr>
          <xdr:cNvSpPr/>
        </xdr:nvSpPr>
        <xdr:spPr bwMode="auto">
          <a:xfrm flipV="1">
            <a:off x="3283588" y="896497"/>
            <a:ext cx="1008054"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RING</a:t>
            </a:r>
            <a:r>
              <a:rPr lang="en-US" sz="1100" b="1" baseline="0">
                <a:solidFill>
                  <a:schemeClr val="bg1"/>
                </a:solidFill>
              </a:rPr>
              <a:t> GASKET</a:t>
            </a:r>
            <a:endParaRPr lang="en-US" sz="1100" b="1">
              <a:solidFill>
                <a:schemeClr val="bg1"/>
              </a:solidFill>
            </a:endParaRPr>
          </a:p>
        </xdr:txBody>
      </xdr:sp>
      <xdr:sp macro="" textlink="">
        <xdr:nvSpPr>
          <xdr:cNvPr id="42" name="Round Same Side Corner Rectangle 41">
            <a:hlinkClick xmlns:r="http://schemas.openxmlformats.org/officeDocument/2006/relationships" r:id="rId6"/>
          </xdr:cNvPr>
          <xdr:cNvSpPr/>
        </xdr:nvSpPr>
        <xdr:spPr bwMode="auto">
          <a:xfrm flipV="1">
            <a:off x="4376342" y="896497"/>
            <a:ext cx="1008470"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FULL FACE GASKET</a:t>
            </a:r>
          </a:p>
        </xdr:txBody>
      </xdr:sp>
      <xdr:sp macro="" textlink="">
        <xdr:nvSpPr>
          <xdr:cNvPr id="43" name="Round Same Side Corner Rectangle 42">
            <a:hlinkClick xmlns:r="http://schemas.openxmlformats.org/officeDocument/2006/relationships" r:id="rId7"/>
          </xdr:cNvPr>
          <xdr:cNvSpPr/>
        </xdr:nvSpPr>
        <xdr:spPr bwMode="auto">
          <a:xfrm flipV="1">
            <a:off x="5475727" y="896497"/>
            <a:ext cx="1005559"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RECTANGULAR GASKET</a:t>
            </a:r>
          </a:p>
        </xdr:txBody>
      </xdr:sp>
      <xdr:sp macro="" textlink="">
        <xdr:nvSpPr>
          <xdr:cNvPr id="44" name="Round Same Side Corner Rectangle 43">
            <a:hlinkClick xmlns:r="http://schemas.openxmlformats.org/officeDocument/2006/relationships" r:id="rId8"/>
          </xdr:cNvPr>
          <xdr:cNvSpPr/>
        </xdr:nvSpPr>
        <xdr:spPr bwMode="auto">
          <a:xfrm flipV="1">
            <a:off x="6563444" y="896497"/>
            <a:ext cx="1008887"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ELLIPTICAL GASKET</a:t>
            </a:r>
          </a:p>
        </xdr:txBody>
      </xdr:sp>
      <xdr:sp macro="" textlink="">
        <xdr:nvSpPr>
          <xdr:cNvPr id="46" name="Round Same Side Corner Rectangle 45">
            <a:hlinkClick xmlns:r="http://schemas.openxmlformats.org/officeDocument/2006/relationships" r:id="rId9"/>
          </xdr:cNvPr>
          <xdr:cNvSpPr/>
        </xdr:nvSpPr>
        <xdr:spPr bwMode="auto">
          <a:xfrm flipV="1">
            <a:off x="7652517" y="896497"/>
            <a:ext cx="1012974"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OBROUND GASKET</a:t>
            </a:r>
          </a:p>
        </xdr:txBody>
      </xdr:sp>
      <xdr:pic>
        <xdr:nvPicPr>
          <xdr:cNvPr id="49" name="Picture 48">
            <a:hlinkClick xmlns:r="http://schemas.openxmlformats.org/officeDocument/2006/relationships" r:id="rId10"/>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62752" y="134472"/>
            <a:ext cx="2096658" cy="575198"/>
          </a:xfrm>
          <a:prstGeom prst="rect">
            <a:avLst/>
          </a:prstGeom>
        </xdr:spPr>
      </xdr:pic>
      <xdr:sp macro="" textlink="">
        <xdr:nvSpPr>
          <xdr:cNvPr id="52" name="Round Same Side Corner Rectangle 51">
            <a:hlinkClick xmlns:r="http://schemas.openxmlformats.org/officeDocument/2006/relationships" r:id="rId12"/>
          </xdr:cNvPr>
          <xdr:cNvSpPr/>
        </xdr:nvSpPr>
        <xdr:spPr bwMode="auto">
          <a:xfrm flipV="1">
            <a:off x="8740616" y="896497"/>
            <a:ext cx="1012974"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BOLT </a:t>
            </a:r>
            <a:r>
              <a:rPr lang="en-US" sz="1100" b="1" baseline="0">
                <a:solidFill>
                  <a:schemeClr val="bg1"/>
                </a:solidFill>
              </a:rPr>
              <a:t>TABLE</a:t>
            </a:r>
            <a:endParaRPr lang="en-US" sz="1100" b="1">
              <a:solidFill>
                <a:schemeClr val="bg1"/>
              </a:solidFill>
            </a:endParaRPr>
          </a:p>
        </xdr:txBody>
      </xdr:sp>
      <xdr:sp macro="" textlink="">
        <xdr:nvSpPr>
          <xdr:cNvPr id="4" name="Rectangle 3"/>
          <xdr:cNvSpPr/>
        </xdr:nvSpPr>
        <xdr:spPr bwMode="auto">
          <a:xfrm>
            <a:off x="0" y="744073"/>
            <a:ext cx="10874188" cy="170330"/>
          </a:xfrm>
          <a:prstGeom prst="rect">
            <a:avLst/>
          </a:prstGeom>
          <a:solidFill>
            <a:srgbClr val="132863"/>
          </a:solidFill>
          <a:ln w="12700"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grpSp>
    <xdr:clientData/>
  </xdr:twoCellAnchor>
  <xdr:twoCellAnchor>
    <xdr:from>
      <xdr:col>0</xdr:col>
      <xdr:colOff>217394</xdr:colOff>
      <xdr:row>1</xdr:row>
      <xdr:rowOff>170328</xdr:rowOff>
    </xdr:from>
    <xdr:to>
      <xdr:col>14</xdr:col>
      <xdr:colOff>493059</xdr:colOff>
      <xdr:row>49</xdr:row>
      <xdr:rowOff>197224</xdr:rowOff>
    </xdr:to>
    <xdr:grpSp>
      <xdr:nvGrpSpPr>
        <xdr:cNvPr id="5" name="Group 4"/>
        <xdr:cNvGrpSpPr/>
      </xdr:nvGrpSpPr>
      <xdr:grpSpPr>
        <a:xfrm>
          <a:off x="217394" y="1541928"/>
          <a:ext cx="10271312" cy="12783672"/>
          <a:chOff x="217394" y="1541929"/>
          <a:chExt cx="10271312" cy="12434044"/>
        </a:xfrm>
      </xdr:grpSpPr>
      <xdr:sp macro="" textlink="">
        <xdr:nvSpPr>
          <xdr:cNvPr id="1026" name="Text 2"/>
          <xdr:cNvSpPr txBox="1">
            <a:spLocks noChangeArrowheads="1"/>
          </xdr:cNvSpPr>
        </xdr:nvSpPr>
        <xdr:spPr bwMode="auto">
          <a:xfrm>
            <a:off x="217394" y="2832854"/>
            <a:ext cx="10271312" cy="11143119"/>
          </a:xfrm>
          <a:prstGeom prst="rect">
            <a:avLst/>
          </a:prstGeom>
          <a:solidFill>
            <a:srgbClr val="FFFFFF"/>
          </a:solidFill>
          <a:ln w="76200" cmpd="tri">
            <a:noFill/>
            <a:miter lim="800000"/>
            <a:headEnd/>
            <a:tailEnd/>
          </a:ln>
        </xdr:spPr>
        <xdr:txBody>
          <a:bodyPr vertOverflow="clip" wrap="square" lIns="36576" tIns="27432" rIns="0" bIns="0" anchor="t" upright="1"/>
          <a:lstStyle/>
          <a:p>
            <a:pPr algn="l" rtl="0">
              <a:defRPr sz="1000"/>
            </a:pPr>
            <a:endParaRPr lang="en-US" sz="1400" b="1" i="0" u="none" strike="noStrike" baseline="0">
              <a:solidFill>
                <a:srgbClr val="000000"/>
              </a:solidFill>
              <a:latin typeface="CG Omega"/>
            </a:endParaRPr>
          </a:p>
          <a:p>
            <a:pPr algn="l" rtl="0">
              <a:defRPr sz="1000"/>
            </a:pPr>
            <a:r>
              <a:rPr lang="en-US" sz="2200" b="0" i="1" u="none" strike="noStrike" baseline="0">
                <a:solidFill>
                  <a:srgbClr val="132863"/>
                </a:solidFill>
                <a:effectLst>
                  <a:outerShdw blurRad="50800" dist="38100" dir="8100000" algn="tr" rotWithShape="0">
                    <a:prstClr val="black">
                      <a:alpha val="40000"/>
                    </a:prstClr>
                  </a:outerShdw>
                </a:effectLst>
                <a:latin typeface="Impact"/>
              </a:rPr>
              <a:t>QUICK TORQUE</a:t>
            </a:r>
            <a:endParaRPr lang="en-US" sz="800" b="0" i="1" u="none" strike="noStrike" baseline="0">
              <a:solidFill>
                <a:srgbClr val="132863"/>
              </a:solidFill>
              <a:effectLst>
                <a:outerShdw blurRad="50800" dist="38100" dir="8100000" algn="tr" rotWithShape="0">
                  <a:prstClr val="black">
                    <a:alpha val="40000"/>
                  </a:prstClr>
                </a:outerShdw>
              </a:effectLst>
              <a:latin typeface="Impact"/>
            </a:endParaRPr>
          </a:p>
          <a:p>
            <a:pPr algn="l" rtl="0">
              <a:defRPr sz="1000"/>
            </a:pPr>
            <a:endParaRPr lang="en-US" sz="1400" b="1" i="0" u="none" strike="noStrike" baseline="0">
              <a:solidFill>
                <a:srgbClr val="000000"/>
              </a:solidFill>
              <a:latin typeface="CG Omega"/>
            </a:endParaRPr>
          </a:p>
          <a:p>
            <a:pPr algn="l" rtl="0">
              <a:defRPr sz="1000"/>
            </a:pPr>
            <a:r>
              <a:rPr lang="en-US" sz="1400" b="0" i="0" u="none" strike="noStrike" baseline="0">
                <a:solidFill>
                  <a:srgbClr val="000000"/>
                </a:solidFill>
                <a:latin typeface="CG Omega"/>
              </a:rPr>
              <a:t>The </a:t>
            </a:r>
            <a:r>
              <a:rPr lang="en-US" sz="1400" b="0" i="1" u="none" strike="noStrike" baseline="0">
                <a:solidFill>
                  <a:srgbClr val="000000"/>
                </a:solidFill>
                <a:latin typeface="Impact"/>
              </a:rPr>
              <a:t>QUICK TORQUE  </a:t>
            </a:r>
            <a:r>
              <a:rPr lang="en-US" sz="1400" b="0" i="0" u="none" strike="noStrike" baseline="0">
                <a:solidFill>
                  <a:srgbClr val="000000"/>
                </a:solidFill>
                <a:latin typeface="Arial"/>
                <a:cs typeface="Arial"/>
              </a:rPr>
              <a:t>allows t</a:t>
            </a:r>
            <a:r>
              <a:rPr lang="en-US" sz="1400" b="0" i="0" u="none" strike="noStrike" baseline="0">
                <a:solidFill>
                  <a:srgbClr val="000000"/>
                </a:solidFill>
                <a:latin typeface="CG Omega"/>
              </a:rPr>
              <a:t>he user to quickly locate a bolt torque for a compressed sheet, GYLON®, GYLON EPIX™, GRAPH-LOCK®, MULTI-SWELL™, CMG Gaskets (GRAPHONIC®, TEPHONIC®, GET® and THERPHONIC®), Kammprofiles, and  FLEXSEAL® spiral wound gasket in standard ANSI/ASME raised face flanges with A193 B7 bolts and A194 2H nuts, or torque values for full face elastomeric (rubber) gaskets in ASME 150# flat face flanges with A193 B7 bolts and A194 2H nuts.  Simply choose the flange size and class from the appropriate drop down list.</a:t>
            </a:r>
          </a:p>
          <a:p>
            <a:pPr algn="l" rtl="0">
              <a:defRPr sz="1000"/>
            </a:pPr>
            <a:endParaRPr lang="en-US" sz="1400" b="1" i="0" u="none" strike="noStrike" baseline="0">
              <a:solidFill>
                <a:srgbClr val="000000"/>
              </a:solidFill>
              <a:latin typeface="CG Omega"/>
            </a:endParaRPr>
          </a:p>
          <a:p>
            <a:pPr algn="l" rtl="0">
              <a:defRPr sz="1000"/>
            </a:pPr>
            <a:r>
              <a:rPr lang="en-US" sz="2200" b="0" i="1" u="none" strike="noStrike" baseline="0">
                <a:solidFill>
                  <a:srgbClr val="132863"/>
                </a:solidFill>
                <a:effectLst>
                  <a:outerShdw blurRad="50800" dist="38100" dir="8100000" algn="tr" rotWithShape="0">
                    <a:prstClr val="black">
                      <a:alpha val="40000"/>
                    </a:prstClr>
                  </a:outerShdw>
                </a:effectLst>
                <a:latin typeface="Impact"/>
              </a:rPr>
              <a:t>G.S.T.</a:t>
            </a:r>
            <a:endParaRPr lang="en-US" sz="800" b="0" i="1" u="none" strike="noStrike" baseline="0">
              <a:solidFill>
                <a:srgbClr val="132863"/>
              </a:solidFill>
              <a:effectLst>
                <a:outerShdw blurRad="50800" dist="38100" dir="8100000" algn="tr" rotWithShape="0">
                  <a:prstClr val="black">
                    <a:alpha val="40000"/>
                  </a:prstClr>
                </a:outerShdw>
              </a:effectLst>
              <a:latin typeface="Impact"/>
            </a:endParaRPr>
          </a:p>
          <a:p>
            <a:pPr algn="l" rtl="0">
              <a:defRPr sz="1000"/>
            </a:pPr>
            <a:endParaRPr lang="en-US" sz="1400" b="1" i="0" u="none" strike="noStrike" baseline="0">
              <a:solidFill>
                <a:srgbClr val="000000"/>
              </a:solidFill>
              <a:latin typeface="CG Omega"/>
            </a:endParaRPr>
          </a:p>
          <a:p>
            <a:pPr algn="l" rtl="0">
              <a:defRPr sz="1000"/>
            </a:pPr>
            <a:r>
              <a:rPr lang="en-US" sz="1400" b="0" i="0" u="none" strike="noStrike" baseline="0">
                <a:solidFill>
                  <a:srgbClr val="000000"/>
                </a:solidFill>
                <a:latin typeface="CG Omega"/>
              </a:rPr>
              <a:t>The </a:t>
            </a:r>
            <a:r>
              <a:rPr lang="en-US" sz="1400" b="0" i="1" u="none" strike="noStrike" baseline="0">
                <a:solidFill>
                  <a:schemeClr val="tx1"/>
                </a:solidFill>
                <a:latin typeface="Impact" panose="020B0806030902050204" pitchFamily="34" charset="0"/>
              </a:rPr>
              <a:t>GST</a:t>
            </a:r>
            <a:r>
              <a:rPr lang="en-US" sz="1400" b="0" i="0" u="none" strike="noStrike" baseline="0">
                <a:solidFill>
                  <a:srgbClr val="0000FF"/>
                </a:solidFill>
                <a:latin typeface="CG Omega"/>
              </a:rPr>
              <a:t> </a:t>
            </a:r>
            <a:r>
              <a:rPr lang="en-US" sz="1400" b="0" i="0" u="none" strike="noStrike" baseline="0">
                <a:solidFill>
                  <a:srgbClr val="000000"/>
                </a:solidFill>
                <a:latin typeface="CG Omega"/>
              </a:rPr>
              <a:t>(</a:t>
            </a:r>
            <a:r>
              <a:rPr lang="en-US" sz="1400" b="0" i="1" u="none" strike="noStrike" baseline="0">
                <a:solidFill>
                  <a:schemeClr val="tx1"/>
                </a:solidFill>
                <a:latin typeface="Impact" panose="020B0806030902050204" pitchFamily="34" charset="0"/>
              </a:rPr>
              <a:t>G </a:t>
            </a:r>
            <a:r>
              <a:rPr lang="en-US" sz="1400" b="0" i="0" u="none" strike="noStrike" baseline="0">
                <a:solidFill>
                  <a:srgbClr val="000000"/>
                </a:solidFill>
                <a:latin typeface="CG Omega"/>
              </a:rPr>
              <a:t>asket </a:t>
            </a:r>
            <a:r>
              <a:rPr lang="en-US" sz="1400" b="0" i="1" u="none" strike="noStrike" baseline="0">
                <a:solidFill>
                  <a:schemeClr val="tx1"/>
                </a:solidFill>
                <a:latin typeface="Impact" panose="020B0806030902050204" pitchFamily="34" charset="0"/>
              </a:rPr>
              <a:t>S </a:t>
            </a:r>
            <a:r>
              <a:rPr lang="en-US" sz="1400" b="0" i="0" u="none" strike="noStrike" baseline="0">
                <a:solidFill>
                  <a:srgbClr val="000000"/>
                </a:solidFill>
                <a:latin typeface="CG Omega"/>
              </a:rPr>
              <a:t>tress to </a:t>
            </a:r>
            <a:r>
              <a:rPr lang="en-US" sz="1400" b="0" i="1" u="none" strike="noStrike" baseline="0">
                <a:solidFill>
                  <a:schemeClr val="tx1"/>
                </a:solidFill>
                <a:latin typeface="Impact" panose="020B0806030902050204" pitchFamily="34" charset="0"/>
              </a:rPr>
              <a:t>T </a:t>
            </a:r>
            <a:r>
              <a:rPr lang="en-US" sz="1400" b="0" i="0" u="none" strike="noStrike" baseline="0">
                <a:solidFill>
                  <a:srgbClr val="000000"/>
                </a:solidFill>
                <a:latin typeface="CG Omega"/>
              </a:rPr>
              <a:t>orque) can be used to determine the necessary torque per bolt by simply entering the desired gasket stress, contact area and bolting information.</a:t>
            </a:r>
          </a:p>
          <a:p>
            <a:pPr algn="l" rtl="0">
              <a:defRPr sz="1000"/>
            </a:pPr>
            <a:endParaRPr lang="en-US" sz="1400" b="1" i="0" u="none" strike="noStrike" baseline="0">
              <a:solidFill>
                <a:srgbClr val="000000"/>
              </a:solidFill>
              <a:latin typeface="CG Omega"/>
            </a:endParaRPr>
          </a:p>
          <a:p>
            <a:pPr algn="l" rtl="0">
              <a:defRPr sz="1000"/>
            </a:pPr>
            <a:r>
              <a:rPr lang="en-US" sz="2200" b="0" i="1" u="none" strike="noStrike" baseline="0">
                <a:solidFill>
                  <a:srgbClr val="132863"/>
                </a:solidFill>
                <a:effectLst>
                  <a:outerShdw blurRad="50800" dist="38100" dir="8100000" algn="tr" rotWithShape="0">
                    <a:prstClr val="black">
                      <a:alpha val="40000"/>
                    </a:prstClr>
                  </a:outerShdw>
                </a:effectLst>
                <a:latin typeface="Impact"/>
              </a:rPr>
              <a:t>RING , FULL FACE, RECTANGULAR &amp; OBROUND GASKETS</a:t>
            </a:r>
            <a:endParaRPr lang="en-US" sz="800" b="1" i="0" u="none" strike="noStrike" baseline="0">
              <a:solidFill>
                <a:srgbClr val="132863"/>
              </a:solidFill>
              <a:effectLst>
                <a:outerShdw blurRad="50800" dist="38100" dir="8100000" algn="tr" rotWithShape="0">
                  <a:prstClr val="black">
                    <a:alpha val="40000"/>
                  </a:prstClr>
                </a:outerShdw>
              </a:effectLst>
              <a:latin typeface="CG Omega"/>
            </a:endParaRPr>
          </a:p>
          <a:p>
            <a:pPr algn="l" rtl="0">
              <a:defRPr sz="1000"/>
            </a:pPr>
            <a:endParaRPr lang="en-US" sz="1400" b="1" i="0" u="none" strike="noStrike" baseline="0">
              <a:solidFill>
                <a:srgbClr val="000000"/>
              </a:solidFill>
              <a:latin typeface="CG Omega"/>
            </a:endParaRPr>
          </a:p>
          <a:p>
            <a:pPr algn="l" rtl="0">
              <a:defRPr sz="1000"/>
            </a:pPr>
            <a:r>
              <a:rPr lang="en-US" sz="1400" b="0" i="0" u="none" strike="noStrike" baseline="0">
                <a:solidFill>
                  <a:srgbClr val="000000"/>
                </a:solidFill>
                <a:latin typeface="CG Omega"/>
              </a:rPr>
              <a:t>The Gasket Calculator 6.0 provides compressed area, stress and torque calculation sheets for various configurations.  Select the appropriate gasket configuration and fill in the </a:t>
            </a:r>
            <a:r>
              <a:rPr lang="en-US" sz="1400" b="1" i="0" u="none" strike="noStrike" baseline="0">
                <a:solidFill>
                  <a:schemeClr val="bg1">
                    <a:lumMod val="50000"/>
                  </a:schemeClr>
                </a:solidFill>
                <a:effectLst>
                  <a:outerShdw blurRad="50800" dist="38100" dir="8100000" algn="tr" rotWithShape="0">
                    <a:prstClr val="black"/>
                  </a:outerShdw>
                </a:effectLst>
                <a:latin typeface="CG Omega"/>
              </a:rPr>
              <a:t>GRAY</a:t>
            </a:r>
            <a:r>
              <a:rPr lang="en-US" sz="1400" b="0" i="0" u="none" strike="noStrike" baseline="0">
                <a:solidFill>
                  <a:srgbClr val="000000"/>
                </a:solidFill>
                <a:latin typeface="CG Omega"/>
              </a:rPr>
              <a:t> colored fields.  The Gasket Calculator 6.0 will do the rest.  </a:t>
            </a:r>
          </a:p>
          <a:p>
            <a:pPr algn="l" rtl="0">
              <a:defRPr sz="1000"/>
            </a:pPr>
            <a:endParaRPr lang="en-US" sz="1400" b="0" i="0" u="none" strike="noStrike" baseline="0">
              <a:solidFill>
                <a:srgbClr val="000000"/>
              </a:solidFill>
              <a:latin typeface="CG Omega"/>
            </a:endParaRPr>
          </a:p>
          <a:p>
            <a:pPr algn="l" rtl="0">
              <a:defRPr sz="1000"/>
            </a:pPr>
            <a:r>
              <a:rPr lang="en-US" sz="1400" b="0" i="0" u="none" strike="noStrike" baseline="0">
                <a:solidFill>
                  <a:srgbClr val="000000"/>
                </a:solidFill>
                <a:latin typeface="CG Omega"/>
              </a:rPr>
              <a:t>Garlock conservatively factors in hydrostatic end force on RING and FULL FACE gaskets when the I.D. is larger than 24".  </a:t>
            </a:r>
          </a:p>
          <a:p>
            <a:pPr algn="l" rtl="0">
              <a:defRPr sz="1000"/>
            </a:pPr>
            <a:endParaRPr lang="en-US" sz="1400" b="0" i="0" u="none" strike="noStrike" baseline="0">
              <a:solidFill>
                <a:srgbClr val="000000"/>
              </a:solidFill>
              <a:latin typeface="CG Omega"/>
            </a:endParaRPr>
          </a:p>
          <a:p>
            <a:pPr algn="l" rtl="0">
              <a:defRPr sz="1000"/>
            </a:pPr>
            <a:r>
              <a:rPr lang="en-US" sz="1400" b="0" i="0" u="none" strike="noStrike" baseline="0">
                <a:solidFill>
                  <a:srgbClr val="000000"/>
                </a:solidFill>
                <a:latin typeface="CG Omega"/>
              </a:rPr>
              <a:t>The minimum and maximum recommended assembly stresses for the various gasketing materials offered by Garlock along with the torque and bolt stress required to achieve these gasket stresses are shown in Tables 1-8 in the lower section of each section.  Please pay close attention to "Fastener notes", as this section will provide feedback on percentage of bolt yield that is required to achieve the minimum and maximum recommended gasket stresses.  Calculations are based on using a moly-type thread lubricant</a:t>
            </a:r>
          </a:p>
          <a:p>
            <a:pPr algn="l" rtl="0">
              <a:defRPr sz="1000"/>
            </a:pPr>
            <a:endParaRPr lang="en-US" sz="1400" b="1" i="0" u="none" strike="noStrike" baseline="0">
              <a:solidFill>
                <a:srgbClr val="000000"/>
              </a:solidFill>
              <a:latin typeface="CG Omega"/>
            </a:endParaRPr>
          </a:p>
          <a:p>
            <a:pPr algn="l" rtl="0">
              <a:defRPr sz="1000"/>
            </a:pPr>
            <a:r>
              <a:rPr lang="en-US" sz="2200" b="0" i="1" u="none" strike="noStrike" baseline="0">
                <a:solidFill>
                  <a:srgbClr val="132863"/>
                </a:solidFill>
                <a:effectLst>
                  <a:outerShdw blurRad="50800" dist="38100" dir="8100000" algn="tr" rotWithShape="0">
                    <a:prstClr val="black">
                      <a:alpha val="40000"/>
                    </a:prstClr>
                  </a:outerShdw>
                </a:effectLst>
                <a:latin typeface="Impact"/>
              </a:rPr>
              <a:t>NAVIGATION BAR &amp; LINKS</a:t>
            </a:r>
            <a:endParaRPr lang="en-US" sz="1400" b="1" i="0" u="none" strike="noStrike" baseline="0">
              <a:solidFill>
                <a:srgbClr val="132863"/>
              </a:solidFill>
              <a:effectLst>
                <a:outerShdw blurRad="50800" dist="38100" dir="8100000" algn="tr" rotWithShape="0">
                  <a:prstClr val="black">
                    <a:alpha val="40000"/>
                  </a:prstClr>
                </a:outerShdw>
              </a:effectLst>
              <a:latin typeface="CG Omega"/>
            </a:endParaRPr>
          </a:p>
          <a:p>
            <a:pPr algn="l" rtl="0">
              <a:defRPr sz="1000"/>
            </a:pPr>
            <a:endParaRPr lang="en-US" sz="1400" b="1" i="0" u="none" strike="noStrike" baseline="0">
              <a:solidFill>
                <a:srgbClr val="000000"/>
              </a:solidFill>
              <a:latin typeface="CG Omega"/>
            </a:endParaRPr>
          </a:p>
          <a:p>
            <a:pPr algn="l" rtl="0">
              <a:defRPr sz="1000"/>
            </a:pPr>
            <a:r>
              <a:rPr lang="en-US" sz="1400" b="0" i="0" u="none" strike="noStrike" baseline="0">
                <a:solidFill>
                  <a:srgbClr val="000000"/>
                </a:solidFill>
                <a:latin typeface="CG Omega"/>
              </a:rPr>
              <a:t>Each section of the Gasket Calculator 6.0 has a navigation bar across the top, as well as various links that are designed to make navigation easier.  There are also several links to key areas of the Garlock.com website where additional engineering data, and product selectors can be found.</a:t>
            </a:r>
          </a:p>
          <a:p>
            <a:pPr algn="l" rtl="0">
              <a:defRPr sz="1000"/>
            </a:pPr>
            <a:endParaRPr lang="en-US" sz="1400" b="0" i="0" u="none" strike="noStrike" baseline="0">
              <a:solidFill>
                <a:srgbClr val="000000"/>
              </a:solidFill>
              <a:latin typeface="CG Omega"/>
            </a:endParaRPr>
          </a:p>
          <a:p>
            <a:pPr algn="l" rtl="0">
              <a:defRPr sz="1000"/>
            </a:pPr>
            <a:r>
              <a:rPr lang="en-US" sz="2200" b="0" i="1" u="none" strike="noStrike" baseline="0">
                <a:solidFill>
                  <a:srgbClr val="FF0000"/>
                </a:solidFill>
                <a:effectLst>
                  <a:outerShdw blurRad="50800" dist="38100" dir="8100000" algn="tr" rotWithShape="0">
                    <a:prstClr val="black">
                      <a:alpha val="40000"/>
                    </a:prstClr>
                  </a:outerShdw>
                </a:effectLst>
                <a:latin typeface="Impact" panose="020B0806030902050204" pitchFamily="34" charset="0"/>
                <a:cs typeface="Arial"/>
              </a:rPr>
              <a:t>NOTE:</a:t>
            </a:r>
            <a:endParaRPr lang="en-US" sz="2200" b="0" i="1" u="none" strike="noStrike" baseline="0">
              <a:solidFill>
                <a:srgbClr val="000000"/>
              </a:solidFill>
              <a:effectLst>
                <a:outerShdw blurRad="50800" dist="38100" dir="8100000" algn="tr" rotWithShape="0">
                  <a:prstClr val="black">
                    <a:alpha val="40000"/>
                  </a:prstClr>
                </a:outerShdw>
              </a:effectLst>
              <a:latin typeface="Impact" panose="020B0806030902050204" pitchFamily="34" charset="0"/>
            </a:endParaRPr>
          </a:p>
          <a:p>
            <a:pPr algn="l" rtl="0">
              <a:defRPr sz="1000"/>
            </a:pPr>
            <a:endParaRPr lang="en-US" sz="1400" b="0" i="0" u="none" strike="noStrike" baseline="0">
              <a:solidFill>
                <a:srgbClr val="000000"/>
              </a:solidFill>
              <a:latin typeface="CG Omega"/>
            </a:endParaRPr>
          </a:p>
          <a:p>
            <a:pPr algn="l" rtl="0">
              <a:defRPr sz="1000"/>
            </a:pPr>
            <a:r>
              <a:rPr lang="en-US" sz="1200" b="0" i="0" u="none" strike="noStrike" baseline="0">
                <a:solidFill>
                  <a:srgbClr val="000000"/>
                </a:solidFill>
                <a:latin typeface="Arial"/>
                <a:cs typeface="Arial"/>
              </a:rPr>
              <a:t>The information found in this Gasket Calculator 6.0 should not be the sole factor for the gasket selection process.  If at anytime you have any questions regarding the information please contact the Applications Engineering Department of Garlock Sealing Technologies at (800) 448-6688 or click on TECHNICAL SUPPORT in the top menu bar to email the Applications Engineers.</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To begin using the Gasket Calculator 6.0 choose from the navigation bar at the top, and fill in the gray colored cells with the information requested.  The results will be displayed in the white colored cells.</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The calculations are based on the </a:t>
            </a:r>
            <a:r>
              <a:rPr lang="en-US" sz="1200" b="0" i="0" u="sng" strike="noStrike" baseline="0">
                <a:solidFill>
                  <a:srgbClr val="000000"/>
                </a:solidFill>
                <a:latin typeface="Arial"/>
                <a:cs typeface="Arial"/>
              </a:rPr>
              <a:t>contact dimensions</a:t>
            </a:r>
            <a:r>
              <a:rPr lang="en-US" sz="1200" b="0" i="0" u="none" strike="noStrike" baseline="0">
                <a:solidFill>
                  <a:srgbClr val="000000"/>
                </a:solidFill>
                <a:latin typeface="Arial"/>
                <a:cs typeface="Arial"/>
              </a:rPr>
              <a:t>.  For example, if your system uses a full face gasket in an assembly with one or two raised face flanges, the appropriate sheet would be "Ring Gaskets" since the contact dimensions are determined by the raised face portion of the flange(s).  The dimensions that should be used are the I.D. of the gasket or flange (whichever is greater) and the O.D. of the raised face portion of the flange(s).  </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All torque and stress calculations are based on 8UN bolts, and do not take flange stress into consideration.  The user is responsible for identifying and using the appropriate bolt stress for the given bolt size/grade and flange design.</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With the "Full Face Gasket" and "Rectangular &amp; Square Flange" sheets the cells to the right of the white cells should read "TRUE" after all of the information is entered.</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Calculated compressive stress values can be compared with Garlock's recommended values by referring to Table 1 - 8 located below the calculations.  To print the results simply click on the printer icon.  The print areas have been preset.</a:t>
            </a:r>
          </a:p>
        </xdr:txBody>
      </xdr:sp>
      <xdr:pic>
        <xdr:nvPicPr>
          <xdr:cNvPr id="18" name="Picture 17"/>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7960659" y="1703294"/>
            <a:ext cx="2440640" cy="1822178"/>
          </a:xfrm>
          <a:prstGeom prst="rect">
            <a:avLst/>
          </a:prstGeom>
        </xdr:spPr>
      </xdr:pic>
      <xdr:sp macro="" textlink="">
        <xdr:nvSpPr>
          <xdr:cNvPr id="19" name="Text 2"/>
          <xdr:cNvSpPr txBox="1">
            <a:spLocks noChangeArrowheads="1"/>
          </xdr:cNvSpPr>
        </xdr:nvSpPr>
        <xdr:spPr bwMode="auto">
          <a:xfrm>
            <a:off x="224115" y="1541929"/>
            <a:ext cx="7628967" cy="1532965"/>
          </a:xfrm>
          <a:prstGeom prst="rect">
            <a:avLst/>
          </a:prstGeom>
          <a:solidFill>
            <a:srgbClr val="FFFFFF"/>
          </a:solidFill>
          <a:ln w="76200" cmpd="tri">
            <a:noFill/>
            <a:miter lim="800000"/>
            <a:headEnd/>
            <a:tailEnd/>
          </a:ln>
        </xdr:spPr>
        <xdr:txBody>
          <a:bodyPr vertOverflow="clip" wrap="square" lIns="36576" tIns="27432" rIns="0" bIns="0" anchor="t" upright="1"/>
          <a:lstStyle/>
          <a:p>
            <a:pPr algn="l" rtl="0">
              <a:defRPr sz="1000"/>
            </a:pPr>
            <a:r>
              <a:rPr lang="en-US" sz="2200" b="0" i="1" u="none" strike="noStrike" baseline="0">
                <a:solidFill>
                  <a:srgbClr val="132863"/>
                </a:solidFill>
                <a:effectLst>
                  <a:outerShdw blurRad="50800" dist="38100" dir="8100000" algn="tr" rotWithShape="0">
                    <a:prstClr val="black">
                      <a:alpha val="40000"/>
                    </a:prstClr>
                  </a:outerShdw>
                </a:effectLst>
                <a:latin typeface="Impact"/>
              </a:rPr>
              <a:t>Gasket Calculator 6.0</a:t>
            </a:r>
            <a:endParaRPr lang="en-US" sz="1400" b="1" i="0" u="none" strike="noStrike" baseline="0">
              <a:solidFill>
                <a:srgbClr val="132863"/>
              </a:solidFill>
              <a:effectLst>
                <a:outerShdw blurRad="50800" dist="38100" dir="8100000" algn="tr" rotWithShape="0">
                  <a:prstClr val="black">
                    <a:alpha val="40000"/>
                  </a:prstClr>
                </a:outerShdw>
              </a:effectLst>
              <a:latin typeface="CG Omega"/>
            </a:endParaRPr>
          </a:p>
          <a:p>
            <a:pPr algn="l" rtl="0">
              <a:defRPr sz="1000"/>
            </a:pPr>
            <a:endParaRPr lang="en-US" sz="1400" b="1" i="0" u="none" strike="noStrike" baseline="0">
              <a:solidFill>
                <a:srgbClr val="000000"/>
              </a:solidFill>
              <a:latin typeface="CG Omega"/>
            </a:endParaRPr>
          </a:p>
          <a:p>
            <a:pPr algn="l" rtl="0">
              <a:defRPr sz="1000"/>
            </a:pPr>
            <a:r>
              <a:rPr lang="en-US" sz="1400" b="0" i="0" u="none" strike="noStrike" baseline="0">
                <a:solidFill>
                  <a:srgbClr val="000000"/>
                </a:solidFill>
                <a:latin typeface="CG Omega"/>
              </a:rPr>
              <a:t>The Gasket Calculator 6.0 was developed by the Applications Engineering Department of Garlock to assist customers in determining the available compressive stress, the torque at which the stress is developed and how those values compare to Garlock's minimum and maximum recommended seating stresses.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597040</xdr:colOff>
      <xdr:row>16</xdr:row>
      <xdr:rowOff>167920</xdr:rowOff>
    </xdr:from>
    <xdr:to>
      <xdr:col>5</xdr:col>
      <xdr:colOff>37181</xdr:colOff>
      <xdr:row>17</xdr:row>
      <xdr:rowOff>557433</xdr:rowOff>
    </xdr:to>
    <xdr:grpSp>
      <xdr:nvGrpSpPr>
        <xdr:cNvPr id="62" name="Group 61"/>
        <xdr:cNvGrpSpPr/>
      </xdr:nvGrpSpPr>
      <xdr:grpSpPr>
        <a:xfrm>
          <a:off x="1385934" y="4937144"/>
          <a:ext cx="829671" cy="559842"/>
          <a:chOff x="11793360" y="4187040"/>
          <a:chExt cx="974135" cy="688393"/>
        </a:xfrm>
      </xdr:grpSpPr>
      <xdr:grpSp>
        <xdr:nvGrpSpPr>
          <xdr:cNvPr id="61" name="Group 60"/>
          <xdr:cNvGrpSpPr/>
        </xdr:nvGrpSpPr>
        <xdr:grpSpPr>
          <a:xfrm>
            <a:off x="11793360" y="4193680"/>
            <a:ext cx="753015" cy="681753"/>
            <a:chOff x="11793360" y="4193680"/>
            <a:chExt cx="753015" cy="681753"/>
          </a:xfrm>
        </xdr:grpSpPr>
        <xdr:pic>
          <xdr:nvPicPr>
            <xdr:cNvPr id="21" name="Picture 20"/>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1793360" y="4193680"/>
              <a:ext cx="532002" cy="674100"/>
            </a:xfrm>
            <a:prstGeom prst="rect">
              <a:avLst/>
            </a:prstGeom>
          </xdr:spPr>
        </xdr:pic>
        <xdr:pic>
          <xdr:nvPicPr>
            <xdr:cNvPr id="27" name="Picture 26"/>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2012640" y="4199600"/>
              <a:ext cx="533735" cy="675833"/>
            </a:xfrm>
            <a:prstGeom prst="rect">
              <a:avLst/>
            </a:prstGeom>
          </xdr:spPr>
        </xdr:pic>
      </xdr:grpSp>
      <xdr:pic>
        <xdr:nvPicPr>
          <xdr:cNvPr id="28" name="Picture 27"/>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2233760" y="4187040"/>
            <a:ext cx="533735" cy="675833"/>
          </a:xfrm>
          <a:prstGeom prst="rect">
            <a:avLst/>
          </a:prstGeom>
        </xdr:spPr>
      </xdr:pic>
    </xdr:grpSp>
    <xdr:clientData/>
  </xdr:twoCellAnchor>
  <xdr:twoCellAnchor>
    <xdr:from>
      <xdr:col>2</xdr:col>
      <xdr:colOff>467361</xdr:colOff>
      <xdr:row>13</xdr:row>
      <xdr:rowOff>18768</xdr:rowOff>
    </xdr:from>
    <xdr:to>
      <xdr:col>5</xdr:col>
      <xdr:colOff>108525</xdr:colOff>
      <xdr:row>14</xdr:row>
      <xdr:rowOff>7620</xdr:rowOff>
    </xdr:to>
    <xdr:grpSp>
      <xdr:nvGrpSpPr>
        <xdr:cNvPr id="58" name="Group 57"/>
        <xdr:cNvGrpSpPr/>
      </xdr:nvGrpSpPr>
      <xdr:grpSpPr>
        <a:xfrm>
          <a:off x="1256255" y="3801874"/>
          <a:ext cx="1030694" cy="562593"/>
          <a:chOff x="10668000" y="3368320"/>
          <a:chExt cx="1206642" cy="682980"/>
        </a:xfrm>
      </xdr:grpSpPr>
      <xdr:pic>
        <xdr:nvPicPr>
          <xdr:cNvPr id="20" name="Picture 19"/>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0668000" y="3373120"/>
            <a:ext cx="532002" cy="674100"/>
          </a:xfrm>
          <a:prstGeom prst="rect">
            <a:avLst/>
          </a:prstGeom>
        </xdr:spPr>
      </xdr:pic>
      <xdr:pic>
        <xdr:nvPicPr>
          <xdr:cNvPr id="22" name="Picture 21"/>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0856240" y="3368320"/>
            <a:ext cx="532002" cy="674100"/>
          </a:xfrm>
          <a:prstGeom prst="rect">
            <a:avLst/>
          </a:prstGeom>
        </xdr:spPr>
      </xdr:pic>
      <xdr:pic>
        <xdr:nvPicPr>
          <xdr:cNvPr id="30" name="Picture 29"/>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1131680" y="3369440"/>
            <a:ext cx="532002" cy="674100"/>
          </a:xfrm>
          <a:prstGeom prst="rect">
            <a:avLst/>
          </a:prstGeom>
        </xdr:spPr>
      </xdr:pic>
      <xdr:pic>
        <xdr:nvPicPr>
          <xdr:cNvPr id="31" name="Picture 30"/>
          <xdr:cNvPicPr>
            <a:picLocks noChangeAspect="1"/>
          </xdr:cNvPicPr>
        </xdr:nvPicPr>
        <xdr:blipFill>
          <a:blip xmlns:r="http://schemas.openxmlformats.org/officeDocument/2006/relationships" r:embed="rId7"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1342640" y="3377200"/>
            <a:ext cx="532002" cy="674100"/>
          </a:xfrm>
          <a:prstGeom prst="rect">
            <a:avLst/>
          </a:prstGeom>
        </xdr:spPr>
      </xdr:pic>
    </xdr:grpSp>
    <xdr:clientData/>
  </xdr:twoCellAnchor>
  <xdr:twoCellAnchor>
    <xdr:from>
      <xdr:col>2</xdr:col>
      <xdr:colOff>599440</xdr:colOff>
      <xdr:row>46</xdr:row>
      <xdr:rowOff>40640</xdr:rowOff>
    </xdr:from>
    <xdr:to>
      <xdr:col>3</xdr:col>
      <xdr:colOff>548640</xdr:colOff>
      <xdr:row>46</xdr:row>
      <xdr:rowOff>563798</xdr:rowOff>
    </xdr:to>
    <xdr:grpSp>
      <xdr:nvGrpSpPr>
        <xdr:cNvPr id="4097" name="Group 4096"/>
        <xdr:cNvGrpSpPr/>
      </xdr:nvGrpSpPr>
      <xdr:grpSpPr>
        <a:xfrm>
          <a:off x="1388334" y="12483652"/>
          <a:ext cx="576730" cy="523158"/>
          <a:chOff x="10982960" y="7200880"/>
          <a:chExt cx="721361" cy="688278"/>
        </a:xfrm>
      </xdr:grpSpPr>
      <xdr:pic>
        <xdr:nvPicPr>
          <xdr:cNvPr id="32" name="Picture 31"/>
          <xdr:cNvPicPr>
            <a:picLocks noChangeAspect="1"/>
          </xdr:cNvPicPr>
        </xdr:nvPicPr>
        <xdr:blipFill>
          <a:blip xmlns:r="http://schemas.openxmlformats.org/officeDocument/2006/relationships" r:embed="rId8"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0982960" y="7255921"/>
            <a:ext cx="494661" cy="633237"/>
          </a:xfrm>
          <a:prstGeom prst="rect">
            <a:avLst/>
          </a:prstGeom>
        </xdr:spPr>
      </xdr:pic>
      <xdr:pic>
        <xdr:nvPicPr>
          <xdr:cNvPr id="52" name="Picture 51"/>
          <xdr:cNvPicPr>
            <a:picLocks noChangeAspect="1"/>
          </xdr:cNvPicPr>
        </xdr:nvPicPr>
        <xdr:blipFill>
          <a:blip xmlns:r="http://schemas.openxmlformats.org/officeDocument/2006/relationships" r:embed="rId9"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1173441" y="7200880"/>
            <a:ext cx="530880" cy="681535"/>
          </a:xfrm>
          <a:prstGeom prst="rect">
            <a:avLst/>
          </a:prstGeom>
        </xdr:spPr>
      </xdr:pic>
    </xdr:grpSp>
    <xdr:clientData/>
  </xdr:twoCellAnchor>
  <xdr:twoCellAnchor>
    <xdr:from>
      <xdr:col>13</xdr:col>
      <xdr:colOff>767921</xdr:colOff>
      <xdr:row>13</xdr:row>
      <xdr:rowOff>10160</xdr:rowOff>
    </xdr:from>
    <xdr:to>
      <xdr:col>14</xdr:col>
      <xdr:colOff>833121</xdr:colOff>
      <xdr:row>14</xdr:row>
      <xdr:rowOff>3433</xdr:rowOff>
    </xdr:to>
    <xdr:grpSp>
      <xdr:nvGrpSpPr>
        <xdr:cNvPr id="59" name="Group 58"/>
        <xdr:cNvGrpSpPr/>
      </xdr:nvGrpSpPr>
      <xdr:grpSpPr>
        <a:xfrm>
          <a:off x="8773403" y="3793266"/>
          <a:ext cx="1096142" cy="567014"/>
          <a:chOff x="11954080" y="3368880"/>
          <a:chExt cx="1262295" cy="688393"/>
        </a:xfrm>
      </xdr:grpSpPr>
      <xdr:pic>
        <xdr:nvPicPr>
          <xdr:cNvPr id="26" name="Picture 25"/>
          <xdr:cNvPicPr>
            <a:picLocks noChangeAspect="1"/>
          </xdr:cNvPicPr>
        </xdr:nvPicPr>
        <xdr:blipFill>
          <a:blip xmlns:r="http://schemas.openxmlformats.org/officeDocument/2006/relationships" r:embed="rId10"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1954080" y="3368880"/>
            <a:ext cx="545865" cy="684497"/>
          </a:xfrm>
          <a:prstGeom prst="rect">
            <a:avLst/>
          </a:prstGeom>
        </xdr:spPr>
      </xdr:pic>
      <xdr:pic>
        <xdr:nvPicPr>
          <xdr:cNvPr id="25" name="Picture 24"/>
          <xdr:cNvPicPr>
            <a:picLocks noChangeAspect="1"/>
          </xdr:cNvPicPr>
        </xdr:nvPicPr>
        <xdr:blipFill>
          <a:blip xmlns:r="http://schemas.openxmlformats.org/officeDocument/2006/relationships" r:embed="rId1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2190160" y="3381440"/>
            <a:ext cx="533735" cy="675833"/>
          </a:xfrm>
          <a:prstGeom prst="rect">
            <a:avLst/>
          </a:prstGeom>
        </xdr:spPr>
      </xdr:pic>
      <xdr:pic>
        <xdr:nvPicPr>
          <xdr:cNvPr id="24" name="Picture 23"/>
          <xdr:cNvPicPr>
            <a:picLocks noChangeAspect="1"/>
          </xdr:cNvPicPr>
        </xdr:nvPicPr>
        <xdr:blipFill>
          <a:blip xmlns:r="http://schemas.openxmlformats.org/officeDocument/2006/relationships" r:embed="rId12"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2436400" y="3373680"/>
            <a:ext cx="533735" cy="675833"/>
          </a:xfrm>
          <a:prstGeom prst="rect">
            <a:avLst/>
          </a:prstGeom>
        </xdr:spPr>
      </xdr:pic>
      <xdr:pic>
        <xdr:nvPicPr>
          <xdr:cNvPr id="23" name="Picture 22"/>
          <xdr:cNvPicPr>
            <a:picLocks noChangeAspect="1"/>
          </xdr:cNvPicPr>
        </xdr:nvPicPr>
        <xdr:blipFill>
          <a:blip xmlns:r="http://schemas.openxmlformats.org/officeDocument/2006/relationships" r:embed="rId13"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2682640" y="3376080"/>
            <a:ext cx="533735" cy="675833"/>
          </a:xfrm>
          <a:prstGeom prst="rect">
            <a:avLst/>
          </a:prstGeom>
        </xdr:spPr>
      </xdr:pic>
    </xdr:grpSp>
    <xdr:clientData/>
  </xdr:twoCellAnchor>
  <xdr:twoCellAnchor>
    <xdr:from>
      <xdr:col>2</xdr:col>
      <xdr:colOff>400445</xdr:colOff>
      <xdr:row>21</xdr:row>
      <xdr:rowOff>3858</xdr:rowOff>
    </xdr:from>
    <xdr:to>
      <xdr:col>5</xdr:col>
      <xdr:colOff>51449</xdr:colOff>
      <xdr:row>22</xdr:row>
      <xdr:rowOff>4339</xdr:rowOff>
    </xdr:to>
    <xdr:grpSp>
      <xdr:nvGrpSpPr>
        <xdr:cNvPr id="60" name="Group 59"/>
        <xdr:cNvGrpSpPr/>
      </xdr:nvGrpSpPr>
      <xdr:grpSpPr>
        <a:xfrm>
          <a:off x="1189339" y="6099858"/>
          <a:ext cx="1040534" cy="574222"/>
          <a:chOff x="10590925" y="5159280"/>
          <a:chExt cx="1218024" cy="697219"/>
        </a:xfrm>
      </xdr:grpSpPr>
      <xdr:pic>
        <xdr:nvPicPr>
          <xdr:cNvPr id="35" name="Picture 34"/>
          <xdr:cNvPicPr>
            <a:picLocks noChangeAspect="1"/>
          </xdr:cNvPicPr>
        </xdr:nvPicPr>
        <xdr:blipFill>
          <a:blip xmlns:r="http://schemas.openxmlformats.org/officeDocument/2006/relationships" r:embed="rId14"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0590925" y="5165921"/>
            <a:ext cx="502283" cy="655759"/>
          </a:xfrm>
          <a:prstGeom prst="rect">
            <a:avLst/>
          </a:prstGeom>
        </xdr:spPr>
      </xdr:pic>
      <xdr:pic>
        <xdr:nvPicPr>
          <xdr:cNvPr id="56" name="Picture 55"/>
          <xdr:cNvPicPr>
            <a:picLocks noChangeAspect="1"/>
          </xdr:cNvPicPr>
        </xdr:nvPicPr>
        <xdr:blipFill>
          <a:blip xmlns:r="http://schemas.openxmlformats.org/officeDocument/2006/relationships" r:embed="rId1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0848880" y="5159280"/>
            <a:ext cx="499840" cy="666453"/>
          </a:xfrm>
          <a:prstGeom prst="rect">
            <a:avLst/>
          </a:prstGeom>
        </xdr:spPr>
      </xdr:pic>
      <xdr:pic>
        <xdr:nvPicPr>
          <xdr:cNvPr id="57" name="Picture 56"/>
          <xdr:cNvPicPr>
            <a:picLocks noChangeAspect="1"/>
          </xdr:cNvPicPr>
        </xdr:nvPicPr>
        <xdr:blipFill>
          <a:blip xmlns:r="http://schemas.openxmlformats.org/officeDocument/2006/relationships" r:embed="rId16"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1070000" y="5177200"/>
            <a:ext cx="526803" cy="679299"/>
          </a:xfrm>
          <a:prstGeom prst="rect">
            <a:avLst/>
          </a:prstGeom>
        </xdr:spPr>
      </xdr:pic>
      <xdr:pic>
        <xdr:nvPicPr>
          <xdr:cNvPr id="51" name="Picture 50"/>
          <xdr:cNvPicPr>
            <a:picLocks noChangeAspect="1"/>
          </xdr:cNvPicPr>
        </xdr:nvPicPr>
        <xdr:blipFill>
          <a:blip xmlns:r="http://schemas.openxmlformats.org/officeDocument/2006/relationships" r:embed="rId17"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1318081" y="5171280"/>
            <a:ext cx="490868" cy="650400"/>
          </a:xfrm>
          <a:prstGeom prst="rect">
            <a:avLst/>
          </a:prstGeom>
        </xdr:spPr>
      </xdr:pic>
    </xdr:grpSp>
    <xdr:clientData/>
  </xdr:twoCellAnchor>
  <xdr:twoCellAnchor>
    <xdr:from>
      <xdr:col>13</xdr:col>
      <xdr:colOff>902960</xdr:colOff>
      <xdr:row>24</xdr:row>
      <xdr:rowOff>164993</xdr:rowOff>
    </xdr:from>
    <xdr:to>
      <xdr:col>14</xdr:col>
      <xdr:colOff>779654</xdr:colOff>
      <xdr:row>25</xdr:row>
      <xdr:rowOff>556659</xdr:rowOff>
    </xdr:to>
    <xdr:grpSp>
      <xdr:nvGrpSpPr>
        <xdr:cNvPr id="63" name="Group 62"/>
        <xdr:cNvGrpSpPr/>
      </xdr:nvGrpSpPr>
      <xdr:grpSpPr>
        <a:xfrm>
          <a:off x="8908442" y="7247111"/>
          <a:ext cx="907636" cy="561995"/>
          <a:chOff x="11042640" y="6316400"/>
          <a:chExt cx="1044265" cy="681699"/>
        </a:xfrm>
      </xdr:grpSpPr>
      <xdr:pic>
        <xdr:nvPicPr>
          <xdr:cNvPr id="29" name="Picture 28"/>
          <xdr:cNvPicPr>
            <a:picLocks noChangeAspect="1"/>
          </xdr:cNvPicPr>
        </xdr:nvPicPr>
        <xdr:blipFill>
          <a:blip xmlns:r="http://schemas.openxmlformats.org/officeDocument/2006/relationships" r:embed="rId18"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1042640" y="6318240"/>
            <a:ext cx="545865" cy="679299"/>
          </a:xfrm>
          <a:prstGeom prst="rect">
            <a:avLst/>
          </a:prstGeom>
        </xdr:spPr>
      </xdr:pic>
      <xdr:pic>
        <xdr:nvPicPr>
          <xdr:cNvPr id="34" name="Picture 33"/>
          <xdr:cNvPicPr>
            <a:picLocks noChangeAspect="1"/>
          </xdr:cNvPicPr>
        </xdr:nvPicPr>
        <xdr:blipFill>
          <a:blip xmlns:r="http://schemas.openxmlformats.org/officeDocument/2006/relationships" r:embed="rId19"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1274480" y="6316400"/>
            <a:ext cx="545865" cy="679299"/>
          </a:xfrm>
          <a:prstGeom prst="rect">
            <a:avLst/>
          </a:prstGeom>
        </xdr:spPr>
      </xdr:pic>
      <xdr:pic>
        <xdr:nvPicPr>
          <xdr:cNvPr id="33" name="Picture 32"/>
          <xdr:cNvPicPr>
            <a:picLocks noChangeAspect="1"/>
          </xdr:cNvPicPr>
        </xdr:nvPicPr>
        <xdr:blipFill>
          <a:blip xmlns:r="http://schemas.openxmlformats.org/officeDocument/2006/relationships" r:embed="rId20"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1541040" y="6318800"/>
            <a:ext cx="545865" cy="679299"/>
          </a:xfrm>
          <a:prstGeom prst="rect">
            <a:avLst/>
          </a:prstGeom>
        </xdr:spPr>
      </xdr:pic>
    </xdr:grpSp>
    <xdr:clientData/>
  </xdr:twoCellAnchor>
  <xdr:twoCellAnchor>
    <xdr:from>
      <xdr:col>13</xdr:col>
      <xdr:colOff>912000</xdr:colOff>
      <xdr:row>17</xdr:row>
      <xdr:rowOff>15520</xdr:rowOff>
    </xdr:from>
    <xdr:to>
      <xdr:col>14</xdr:col>
      <xdr:colOff>728061</xdr:colOff>
      <xdr:row>18</xdr:row>
      <xdr:rowOff>8793</xdr:rowOff>
    </xdr:to>
    <xdr:grpSp>
      <xdr:nvGrpSpPr>
        <xdr:cNvPr id="98" name="Group 97"/>
        <xdr:cNvGrpSpPr/>
      </xdr:nvGrpSpPr>
      <xdr:grpSpPr>
        <a:xfrm>
          <a:off x="8917482" y="4955073"/>
          <a:ext cx="847003" cy="567014"/>
          <a:chOff x="11793360" y="4187040"/>
          <a:chExt cx="974135" cy="688393"/>
        </a:xfrm>
      </xdr:grpSpPr>
      <xdr:grpSp>
        <xdr:nvGrpSpPr>
          <xdr:cNvPr id="99" name="Group 98"/>
          <xdr:cNvGrpSpPr/>
        </xdr:nvGrpSpPr>
        <xdr:grpSpPr>
          <a:xfrm>
            <a:off x="11793360" y="4193680"/>
            <a:ext cx="753015" cy="681753"/>
            <a:chOff x="11793360" y="4193680"/>
            <a:chExt cx="753015" cy="681753"/>
          </a:xfrm>
        </xdr:grpSpPr>
        <xdr:pic>
          <xdr:nvPicPr>
            <xdr:cNvPr id="101" name="Picture 100"/>
            <xdr:cNvPicPr>
              <a:picLocks noChangeAspect="1"/>
            </xdr:cNvPicPr>
          </xdr:nvPicPr>
          <xdr:blipFill>
            <a:blip xmlns:r="http://schemas.openxmlformats.org/officeDocument/2006/relationships" r:embed="rId2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1793360" y="4193680"/>
              <a:ext cx="532002" cy="674100"/>
            </a:xfrm>
            <a:prstGeom prst="rect">
              <a:avLst/>
            </a:prstGeom>
          </xdr:spPr>
        </xdr:pic>
        <xdr:pic>
          <xdr:nvPicPr>
            <xdr:cNvPr id="102" name="Picture 101"/>
            <xdr:cNvPicPr>
              <a:picLocks noChangeAspect="1"/>
            </xdr:cNvPicPr>
          </xdr:nvPicPr>
          <xdr:blipFill>
            <a:blip xmlns:r="http://schemas.openxmlformats.org/officeDocument/2006/relationships" r:embed="rId22"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2012640" y="4199600"/>
              <a:ext cx="533735" cy="675833"/>
            </a:xfrm>
            <a:prstGeom prst="rect">
              <a:avLst/>
            </a:prstGeom>
          </xdr:spPr>
        </xdr:pic>
      </xdr:grpSp>
      <xdr:pic>
        <xdr:nvPicPr>
          <xdr:cNvPr id="100" name="Picture 99"/>
          <xdr:cNvPicPr>
            <a:picLocks noChangeAspect="1"/>
          </xdr:cNvPicPr>
        </xdr:nvPicPr>
        <xdr:blipFill>
          <a:blip xmlns:r="http://schemas.openxmlformats.org/officeDocument/2006/relationships" r:embed="rId23"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2233760" y="4187040"/>
            <a:ext cx="533735" cy="675833"/>
          </a:xfrm>
          <a:prstGeom prst="rect">
            <a:avLst/>
          </a:prstGeom>
        </xdr:spPr>
      </xdr:pic>
    </xdr:grpSp>
    <xdr:clientData/>
  </xdr:twoCellAnchor>
  <xdr:twoCellAnchor>
    <xdr:from>
      <xdr:col>13</xdr:col>
      <xdr:colOff>772160</xdr:colOff>
      <xdr:row>21</xdr:row>
      <xdr:rowOff>5858</xdr:rowOff>
    </xdr:from>
    <xdr:to>
      <xdr:col>14</xdr:col>
      <xdr:colOff>799084</xdr:colOff>
      <xdr:row>22</xdr:row>
      <xdr:rowOff>6339</xdr:rowOff>
    </xdr:to>
    <xdr:grpSp>
      <xdr:nvGrpSpPr>
        <xdr:cNvPr id="103" name="Group 102"/>
        <xdr:cNvGrpSpPr/>
      </xdr:nvGrpSpPr>
      <xdr:grpSpPr>
        <a:xfrm>
          <a:off x="8777642" y="6101858"/>
          <a:ext cx="1057866" cy="574222"/>
          <a:chOff x="10590925" y="5159280"/>
          <a:chExt cx="1218024" cy="697219"/>
        </a:xfrm>
      </xdr:grpSpPr>
      <xdr:pic>
        <xdr:nvPicPr>
          <xdr:cNvPr id="104" name="Picture 103"/>
          <xdr:cNvPicPr>
            <a:picLocks noChangeAspect="1"/>
          </xdr:cNvPicPr>
        </xdr:nvPicPr>
        <xdr:blipFill>
          <a:blip xmlns:r="http://schemas.openxmlformats.org/officeDocument/2006/relationships" r:embed="rId14"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0590925" y="5165921"/>
            <a:ext cx="502283" cy="655759"/>
          </a:xfrm>
          <a:prstGeom prst="rect">
            <a:avLst/>
          </a:prstGeom>
        </xdr:spPr>
      </xdr:pic>
      <xdr:pic>
        <xdr:nvPicPr>
          <xdr:cNvPr id="105" name="Picture 104"/>
          <xdr:cNvPicPr>
            <a:picLocks noChangeAspect="1"/>
          </xdr:cNvPicPr>
        </xdr:nvPicPr>
        <xdr:blipFill>
          <a:blip xmlns:r="http://schemas.openxmlformats.org/officeDocument/2006/relationships" r:embed="rId1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0848880" y="5159280"/>
            <a:ext cx="499840" cy="666453"/>
          </a:xfrm>
          <a:prstGeom prst="rect">
            <a:avLst/>
          </a:prstGeom>
        </xdr:spPr>
      </xdr:pic>
      <xdr:pic>
        <xdr:nvPicPr>
          <xdr:cNvPr id="106" name="Picture 105"/>
          <xdr:cNvPicPr>
            <a:picLocks noChangeAspect="1"/>
          </xdr:cNvPicPr>
        </xdr:nvPicPr>
        <xdr:blipFill>
          <a:blip xmlns:r="http://schemas.openxmlformats.org/officeDocument/2006/relationships" r:embed="rId16"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1070000" y="5177200"/>
            <a:ext cx="526803" cy="679299"/>
          </a:xfrm>
          <a:prstGeom prst="rect">
            <a:avLst/>
          </a:prstGeom>
        </xdr:spPr>
      </xdr:pic>
      <xdr:pic>
        <xdr:nvPicPr>
          <xdr:cNvPr id="107" name="Picture 106"/>
          <xdr:cNvPicPr>
            <a:picLocks noChangeAspect="1"/>
          </xdr:cNvPicPr>
        </xdr:nvPicPr>
        <xdr:blipFill>
          <a:blip xmlns:r="http://schemas.openxmlformats.org/officeDocument/2006/relationships" r:embed="rId17"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1318081" y="5171280"/>
            <a:ext cx="490868" cy="650400"/>
          </a:xfrm>
          <a:prstGeom prst="rect">
            <a:avLst/>
          </a:prstGeom>
        </xdr:spPr>
      </xdr:pic>
    </xdr:grpSp>
    <xdr:clientData/>
  </xdr:twoCellAnchor>
  <xdr:twoCellAnchor>
    <xdr:from>
      <xdr:col>2</xdr:col>
      <xdr:colOff>508000</xdr:colOff>
      <xdr:row>25</xdr:row>
      <xdr:rowOff>13173</xdr:rowOff>
    </xdr:from>
    <xdr:to>
      <xdr:col>5</xdr:col>
      <xdr:colOff>8774</xdr:colOff>
      <xdr:row>26</xdr:row>
      <xdr:rowOff>979</xdr:rowOff>
    </xdr:to>
    <xdr:grpSp>
      <xdr:nvGrpSpPr>
        <xdr:cNvPr id="108" name="Group 107"/>
        <xdr:cNvGrpSpPr/>
      </xdr:nvGrpSpPr>
      <xdr:grpSpPr>
        <a:xfrm>
          <a:off x="1296894" y="7265620"/>
          <a:ext cx="890304" cy="561547"/>
          <a:chOff x="11042640" y="6316400"/>
          <a:chExt cx="1044265" cy="681699"/>
        </a:xfrm>
      </xdr:grpSpPr>
      <xdr:pic>
        <xdr:nvPicPr>
          <xdr:cNvPr id="109" name="Picture 108"/>
          <xdr:cNvPicPr>
            <a:picLocks noChangeAspect="1"/>
          </xdr:cNvPicPr>
        </xdr:nvPicPr>
        <xdr:blipFill>
          <a:blip xmlns:r="http://schemas.openxmlformats.org/officeDocument/2006/relationships" r:embed="rId24"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1042640" y="6318240"/>
            <a:ext cx="545865" cy="679299"/>
          </a:xfrm>
          <a:prstGeom prst="rect">
            <a:avLst/>
          </a:prstGeom>
        </xdr:spPr>
      </xdr:pic>
      <xdr:pic>
        <xdr:nvPicPr>
          <xdr:cNvPr id="110" name="Picture 109"/>
          <xdr:cNvPicPr>
            <a:picLocks noChangeAspect="1"/>
          </xdr:cNvPicPr>
        </xdr:nvPicPr>
        <xdr:blipFill>
          <a:blip xmlns:r="http://schemas.openxmlformats.org/officeDocument/2006/relationships" r:embed="rId2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1274480" y="6316400"/>
            <a:ext cx="545865" cy="679299"/>
          </a:xfrm>
          <a:prstGeom prst="rect">
            <a:avLst/>
          </a:prstGeom>
        </xdr:spPr>
      </xdr:pic>
      <xdr:pic>
        <xdr:nvPicPr>
          <xdr:cNvPr id="111" name="Picture 110"/>
          <xdr:cNvPicPr>
            <a:picLocks noChangeAspect="1"/>
          </xdr:cNvPicPr>
        </xdr:nvPicPr>
        <xdr:blipFill>
          <a:blip xmlns:r="http://schemas.openxmlformats.org/officeDocument/2006/relationships" r:embed="rId26"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1541040" y="6318800"/>
            <a:ext cx="545865" cy="679299"/>
          </a:xfrm>
          <a:prstGeom prst="rect">
            <a:avLst/>
          </a:prstGeom>
        </xdr:spPr>
      </xdr:pic>
    </xdr:grpSp>
    <xdr:clientData/>
  </xdr:twoCellAnchor>
  <xdr:twoCellAnchor>
    <xdr:from>
      <xdr:col>13</xdr:col>
      <xdr:colOff>902960</xdr:colOff>
      <xdr:row>28</xdr:row>
      <xdr:rowOff>165573</xdr:rowOff>
    </xdr:from>
    <xdr:to>
      <xdr:col>14</xdr:col>
      <xdr:colOff>779654</xdr:colOff>
      <xdr:row>29</xdr:row>
      <xdr:rowOff>549619</xdr:rowOff>
    </xdr:to>
    <xdr:grpSp>
      <xdr:nvGrpSpPr>
        <xdr:cNvPr id="112" name="Group 111"/>
        <xdr:cNvGrpSpPr/>
      </xdr:nvGrpSpPr>
      <xdr:grpSpPr>
        <a:xfrm>
          <a:off x="8908442" y="8404138"/>
          <a:ext cx="907636" cy="554375"/>
          <a:chOff x="11042640" y="6316400"/>
          <a:chExt cx="1044265" cy="681699"/>
        </a:xfrm>
      </xdr:grpSpPr>
      <xdr:pic>
        <xdr:nvPicPr>
          <xdr:cNvPr id="113" name="Picture 112"/>
          <xdr:cNvPicPr>
            <a:picLocks noChangeAspect="1"/>
          </xdr:cNvPicPr>
        </xdr:nvPicPr>
        <xdr:blipFill>
          <a:blip xmlns:r="http://schemas.openxmlformats.org/officeDocument/2006/relationships" r:embed="rId24"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1042640" y="6318240"/>
            <a:ext cx="545865" cy="679299"/>
          </a:xfrm>
          <a:prstGeom prst="rect">
            <a:avLst/>
          </a:prstGeom>
        </xdr:spPr>
      </xdr:pic>
      <xdr:pic>
        <xdr:nvPicPr>
          <xdr:cNvPr id="114" name="Picture 113"/>
          <xdr:cNvPicPr>
            <a:picLocks noChangeAspect="1"/>
          </xdr:cNvPicPr>
        </xdr:nvPicPr>
        <xdr:blipFill>
          <a:blip xmlns:r="http://schemas.openxmlformats.org/officeDocument/2006/relationships" r:embed="rId2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1274480" y="6316400"/>
            <a:ext cx="545865" cy="679299"/>
          </a:xfrm>
          <a:prstGeom prst="rect">
            <a:avLst/>
          </a:prstGeom>
        </xdr:spPr>
      </xdr:pic>
      <xdr:pic>
        <xdr:nvPicPr>
          <xdr:cNvPr id="115" name="Picture 114"/>
          <xdr:cNvPicPr>
            <a:picLocks noChangeAspect="1"/>
          </xdr:cNvPicPr>
        </xdr:nvPicPr>
        <xdr:blipFill>
          <a:blip xmlns:r="http://schemas.openxmlformats.org/officeDocument/2006/relationships" r:embed="rId26"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1541040" y="6318800"/>
            <a:ext cx="545865" cy="679299"/>
          </a:xfrm>
          <a:prstGeom prst="rect">
            <a:avLst/>
          </a:prstGeom>
        </xdr:spPr>
      </xdr:pic>
    </xdr:grpSp>
    <xdr:clientData/>
  </xdr:twoCellAnchor>
  <xdr:twoCellAnchor>
    <xdr:from>
      <xdr:col>2</xdr:col>
      <xdr:colOff>497840</xdr:colOff>
      <xdr:row>29</xdr:row>
      <xdr:rowOff>6133</xdr:rowOff>
    </xdr:from>
    <xdr:to>
      <xdr:col>4</xdr:col>
      <xdr:colOff>140854</xdr:colOff>
      <xdr:row>29</xdr:row>
      <xdr:rowOff>562899</xdr:rowOff>
    </xdr:to>
    <xdr:grpSp>
      <xdr:nvGrpSpPr>
        <xdr:cNvPr id="116" name="Group 115"/>
        <xdr:cNvGrpSpPr/>
      </xdr:nvGrpSpPr>
      <xdr:grpSpPr>
        <a:xfrm>
          <a:off x="1286734" y="8415027"/>
          <a:ext cx="898073" cy="556766"/>
          <a:chOff x="11042640" y="6316400"/>
          <a:chExt cx="1044265" cy="681699"/>
        </a:xfrm>
      </xdr:grpSpPr>
      <xdr:pic>
        <xdr:nvPicPr>
          <xdr:cNvPr id="117" name="Picture 116"/>
          <xdr:cNvPicPr>
            <a:picLocks noChangeAspect="1"/>
          </xdr:cNvPicPr>
        </xdr:nvPicPr>
        <xdr:blipFill>
          <a:blip xmlns:r="http://schemas.openxmlformats.org/officeDocument/2006/relationships" r:embed="rId24"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1042640" y="6318240"/>
            <a:ext cx="545865" cy="679299"/>
          </a:xfrm>
          <a:prstGeom prst="rect">
            <a:avLst/>
          </a:prstGeom>
        </xdr:spPr>
      </xdr:pic>
      <xdr:pic>
        <xdr:nvPicPr>
          <xdr:cNvPr id="118" name="Picture 117"/>
          <xdr:cNvPicPr>
            <a:picLocks noChangeAspect="1"/>
          </xdr:cNvPicPr>
        </xdr:nvPicPr>
        <xdr:blipFill>
          <a:blip xmlns:r="http://schemas.openxmlformats.org/officeDocument/2006/relationships" r:embed="rId2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1274480" y="6316400"/>
            <a:ext cx="545865" cy="679299"/>
          </a:xfrm>
          <a:prstGeom prst="rect">
            <a:avLst/>
          </a:prstGeom>
        </xdr:spPr>
      </xdr:pic>
      <xdr:pic>
        <xdr:nvPicPr>
          <xdr:cNvPr id="119" name="Picture 118"/>
          <xdr:cNvPicPr>
            <a:picLocks noChangeAspect="1"/>
          </xdr:cNvPicPr>
        </xdr:nvPicPr>
        <xdr:blipFill>
          <a:blip xmlns:r="http://schemas.openxmlformats.org/officeDocument/2006/relationships" r:embed="rId26"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1541040" y="6318800"/>
            <a:ext cx="545865" cy="679299"/>
          </a:xfrm>
          <a:prstGeom prst="rect">
            <a:avLst/>
          </a:prstGeom>
        </xdr:spPr>
      </xdr:pic>
    </xdr:grpSp>
    <xdr:clientData/>
  </xdr:twoCellAnchor>
  <xdr:twoCellAnchor>
    <xdr:from>
      <xdr:col>2</xdr:col>
      <xdr:colOff>619760</xdr:colOff>
      <xdr:row>52</xdr:row>
      <xdr:rowOff>40640</xdr:rowOff>
    </xdr:from>
    <xdr:to>
      <xdr:col>3</xdr:col>
      <xdr:colOff>568960</xdr:colOff>
      <xdr:row>52</xdr:row>
      <xdr:rowOff>563798</xdr:rowOff>
    </xdr:to>
    <xdr:grpSp>
      <xdr:nvGrpSpPr>
        <xdr:cNvPr id="125" name="Group 124"/>
        <xdr:cNvGrpSpPr/>
      </xdr:nvGrpSpPr>
      <xdr:grpSpPr>
        <a:xfrm>
          <a:off x="1408654" y="14052475"/>
          <a:ext cx="576730" cy="523158"/>
          <a:chOff x="10982960" y="7200880"/>
          <a:chExt cx="721361" cy="688278"/>
        </a:xfrm>
      </xdr:grpSpPr>
      <xdr:pic>
        <xdr:nvPicPr>
          <xdr:cNvPr id="126" name="Picture 125"/>
          <xdr:cNvPicPr>
            <a:picLocks noChangeAspect="1"/>
          </xdr:cNvPicPr>
        </xdr:nvPicPr>
        <xdr:blipFill>
          <a:blip xmlns:r="http://schemas.openxmlformats.org/officeDocument/2006/relationships" r:embed="rId8"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0982960" y="7255921"/>
            <a:ext cx="494661" cy="633237"/>
          </a:xfrm>
          <a:prstGeom prst="rect">
            <a:avLst/>
          </a:prstGeom>
        </xdr:spPr>
      </xdr:pic>
      <xdr:pic>
        <xdr:nvPicPr>
          <xdr:cNvPr id="127" name="Picture 126"/>
          <xdr:cNvPicPr>
            <a:picLocks noChangeAspect="1"/>
          </xdr:cNvPicPr>
        </xdr:nvPicPr>
        <xdr:blipFill>
          <a:blip xmlns:r="http://schemas.openxmlformats.org/officeDocument/2006/relationships" r:embed="rId9"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1173441" y="7200880"/>
            <a:ext cx="530880" cy="681535"/>
          </a:xfrm>
          <a:prstGeom prst="rect">
            <a:avLst/>
          </a:prstGeom>
        </xdr:spPr>
      </xdr:pic>
    </xdr:grpSp>
    <xdr:clientData/>
  </xdr:twoCellAnchor>
  <xdr:twoCellAnchor>
    <xdr:from>
      <xdr:col>13</xdr:col>
      <xdr:colOff>1005841</xdr:colOff>
      <xdr:row>52</xdr:row>
      <xdr:rowOff>30480</xdr:rowOff>
    </xdr:from>
    <xdr:to>
      <xdr:col>14</xdr:col>
      <xdr:colOff>812801</xdr:colOff>
      <xdr:row>53</xdr:row>
      <xdr:rowOff>5339</xdr:rowOff>
    </xdr:to>
    <xdr:grpSp>
      <xdr:nvGrpSpPr>
        <xdr:cNvPr id="128" name="Group 127"/>
        <xdr:cNvGrpSpPr/>
      </xdr:nvGrpSpPr>
      <xdr:grpSpPr>
        <a:xfrm>
          <a:off x="9011323" y="14042315"/>
          <a:ext cx="837902" cy="548600"/>
          <a:chOff x="11128001" y="8156323"/>
          <a:chExt cx="1053839" cy="706379"/>
        </a:xfrm>
      </xdr:grpSpPr>
      <xdr:pic>
        <xdr:nvPicPr>
          <xdr:cNvPr id="129" name="Picture 128"/>
          <xdr:cNvPicPr>
            <a:picLocks noChangeAspect="1"/>
          </xdr:cNvPicPr>
        </xdr:nvPicPr>
        <xdr:blipFill>
          <a:blip xmlns:r="http://schemas.openxmlformats.org/officeDocument/2006/relationships" r:embed="rId27"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1128001" y="8171440"/>
            <a:ext cx="515360" cy="663853"/>
          </a:xfrm>
          <a:prstGeom prst="rect">
            <a:avLst/>
          </a:prstGeom>
        </xdr:spPr>
      </xdr:pic>
      <xdr:pic>
        <xdr:nvPicPr>
          <xdr:cNvPr id="130" name="Picture 129"/>
          <xdr:cNvPicPr>
            <a:picLocks noChangeAspect="1"/>
          </xdr:cNvPicPr>
        </xdr:nvPicPr>
        <xdr:blipFill>
          <a:blip xmlns:r="http://schemas.openxmlformats.org/officeDocument/2006/relationships" r:embed="rId28"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1369441" y="8166092"/>
            <a:ext cx="538080" cy="694179"/>
          </a:xfrm>
          <a:prstGeom prst="rect">
            <a:avLst/>
          </a:prstGeom>
        </xdr:spPr>
      </xdr:pic>
      <xdr:pic>
        <xdr:nvPicPr>
          <xdr:cNvPr id="131" name="Picture 130"/>
          <xdr:cNvPicPr>
            <a:picLocks noChangeAspect="1"/>
          </xdr:cNvPicPr>
        </xdr:nvPicPr>
        <xdr:blipFill>
          <a:blip xmlns:r="http://schemas.openxmlformats.org/officeDocument/2006/relationships" r:embed="rId29"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1628240" y="8156323"/>
            <a:ext cx="553600" cy="706379"/>
          </a:xfrm>
          <a:prstGeom prst="rect">
            <a:avLst/>
          </a:prstGeom>
        </xdr:spPr>
      </xdr:pic>
    </xdr:grpSp>
    <xdr:clientData/>
  </xdr:twoCellAnchor>
  <xdr:twoCellAnchor>
    <xdr:from>
      <xdr:col>14</xdr:col>
      <xdr:colOff>111760</xdr:colOff>
      <xdr:row>46</xdr:row>
      <xdr:rowOff>30480</xdr:rowOff>
    </xdr:from>
    <xdr:to>
      <xdr:col>14</xdr:col>
      <xdr:colOff>690880</xdr:colOff>
      <xdr:row>46</xdr:row>
      <xdr:rowOff>553638</xdr:rowOff>
    </xdr:to>
    <xdr:grpSp>
      <xdr:nvGrpSpPr>
        <xdr:cNvPr id="132" name="Group 131"/>
        <xdr:cNvGrpSpPr/>
      </xdr:nvGrpSpPr>
      <xdr:grpSpPr>
        <a:xfrm>
          <a:off x="9148184" y="12473492"/>
          <a:ext cx="579120" cy="523158"/>
          <a:chOff x="10982960" y="7200880"/>
          <a:chExt cx="721361" cy="688278"/>
        </a:xfrm>
      </xdr:grpSpPr>
      <xdr:pic>
        <xdr:nvPicPr>
          <xdr:cNvPr id="133" name="Picture 132"/>
          <xdr:cNvPicPr>
            <a:picLocks noChangeAspect="1"/>
          </xdr:cNvPicPr>
        </xdr:nvPicPr>
        <xdr:blipFill>
          <a:blip xmlns:r="http://schemas.openxmlformats.org/officeDocument/2006/relationships" r:embed="rId8"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0982960" y="7255921"/>
            <a:ext cx="494661" cy="633237"/>
          </a:xfrm>
          <a:prstGeom prst="rect">
            <a:avLst/>
          </a:prstGeom>
        </xdr:spPr>
      </xdr:pic>
      <xdr:pic>
        <xdr:nvPicPr>
          <xdr:cNvPr id="134" name="Picture 133"/>
          <xdr:cNvPicPr>
            <a:picLocks noChangeAspect="1"/>
          </xdr:cNvPicPr>
        </xdr:nvPicPr>
        <xdr:blipFill>
          <a:blip xmlns:r="http://schemas.openxmlformats.org/officeDocument/2006/relationships" r:embed="rId30"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1173441" y="7200880"/>
            <a:ext cx="530880" cy="681535"/>
          </a:xfrm>
          <a:prstGeom prst="rect">
            <a:avLst/>
          </a:prstGeom>
        </xdr:spPr>
      </xdr:pic>
    </xdr:grpSp>
    <xdr:clientData/>
  </xdr:twoCellAnchor>
  <xdr:twoCellAnchor>
    <xdr:from>
      <xdr:col>0</xdr:col>
      <xdr:colOff>0</xdr:colOff>
      <xdr:row>0</xdr:row>
      <xdr:rowOff>98615</xdr:rowOff>
    </xdr:from>
    <xdr:to>
      <xdr:col>15</xdr:col>
      <xdr:colOff>591670</xdr:colOff>
      <xdr:row>0</xdr:row>
      <xdr:rowOff>1296923</xdr:rowOff>
    </xdr:to>
    <xdr:grpSp>
      <xdr:nvGrpSpPr>
        <xdr:cNvPr id="4" name="Group 3"/>
        <xdr:cNvGrpSpPr/>
      </xdr:nvGrpSpPr>
      <xdr:grpSpPr>
        <a:xfrm>
          <a:off x="0" y="98615"/>
          <a:ext cx="10874188" cy="1198308"/>
          <a:chOff x="0" y="98615"/>
          <a:chExt cx="10874188" cy="1198308"/>
        </a:xfrm>
      </xdr:grpSpPr>
      <xdr:sp macro="" textlink="">
        <xdr:nvSpPr>
          <xdr:cNvPr id="76" name="Round Same Side Corner Rectangle 75">
            <a:hlinkClick xmlns:r="http://schemas.openxmlformats.org/officeDocument/2006/relationships" r:id="rId31"/>
          </xdr:cNvPr>
          <xdr:cNvSpPr/>
        </xdr:nvSpPr>
        <xdr:spPr bwMode="auto">
          <a:xfrm flipV="1">
            <a:off x="9834319" y="860614"/>
            <a:ext cx="1012974"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TECHNICAL</a:t>
            </a:r>
            <a:r>
              <a:rPr lang="en-US" sz="1100" b="1" baseline="0">
                <a:solidFill>
                  <a:schemeClr val="bg1"/>
                </a:solidFill>
              </a:rPr>
              <a:t> SUPPORT</a:t>
            </a:r>
            <a:endParaRPr lang="en-US" sz="1100" b="1">
              <a:solidFill>
                <a:schemeClr val="bg1"/>
              </a:solidFill>
            </a:endParaRPr>
          </a:p>
        </xdr:txBody>
      </xdr:sp>
      <xdr:sp macro="" textlink="">
        <xdr:nvSpPr>
          <xdr:cNvPr id="77" name="Round Same Side Corner Rectangle 76">
            <a:hlinkClick xmlns:r="http://schemas.openxmlformats.org/officeDocument/2006/relationships" r:id="rId32"/>
          </xdr:cNvPr>
          <xdr:cNvSpPr/>
        </xdr:nvSpPr>
        <xdr:spPr bwMode="auto">
          <a:xfrm flipV="1">
            <a:off x="1" y="860640"/>
            <a:ext cx="1008471"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HOME</a:t>
            </a:r>
          </a:p>
        </xdr:txBody>
      </xdr:sp>
      <xdr:sp macro="" textlink="">
        <xdr:nvSpPr>
          <xdr:cNvPr id="78" name="WordArt 53"/>
          <xdr:cNvSpPr>
            <a:spLocks noChangeArrowheads="1" noChangeShapeType="1" noTextEdit="1"/>
          </xdr:cNvSpPr>
        </xdr:nvSpPr>
        <xdr:spPr bwMode="auto">
          <a:xfrm>
            <a:off x="6947646" y="197225"/>
            <a:ext cx="3729319" cy="286871"/>
          </a:xfrm>
          <a:prstGeom prst="rect">
            <a:avLst/>
          </a:prstGeom>
        </xdr:spPr>
        <xdr:txBody>
          <a:bodyPr wrap="none" fromWordArt="1">
            <a:prstTxWarp prst="textPlain">
              <a:avLst>
                <a:gd name="adj" fmla="val 50000"/>
              </a:avLst>
            </a:prstTxWarp>
          </a:bodyPr>
          <a:lstStyle/>
          <a:p>
            <a:pPr algn="ctr" rtl="0"/>
            <a:r>
              <a:rPr lang="en-US" sz="4800" b="0" i="1" kern="10" spc="0">
                <a:ln w="9525">
                  <a:solidFill>
                    <a:schemeClr val="tx1"/>
                  </a:solidFill>
                  <a:round/>
                  <a:headEnd/>
                  <a:tailEnd/>
                </a:ln>
                <a:gradFill flip="none" rotWithShape="1">
                  <a:gsLst>
                    <a:gs pos="0">
                      <a:srgbClr val="FFFFFF"/>
                    </a:gs>
                    <a:gs pos="7001">
                      <a:srgbClr val="E6E6E6"/>
                    </a:gs>
                    <a:gs pos="32001">
                      <a:schemeClr val="bg1">
                        <a:lumMod val="75000"/>
                      </a:schemeClr>
                    </a:gs>
                    <a:gs pos="47000">
                      <a:srgbClr val="E6E6E6"/>
                    </a:gs>
                    <a:gs pos="85001">
                      <a:schemeClr val="bg1">
                        <a:lumMod val="75000"/>
                      </a:schemeClr>
                    </a:gs>
                    <a:gs pos="100000">
                      <a:srgbClr val="E6E6E6"/>
                    </a:gs>
                  </a:gsLst>
                  <a:lin ang="2700000" scaled="1"/>
                  <a:tileRect/>
                </a:gradFill>
                <a:effectLst>
                  <a:outerShdw dist="35921" dir="2700000" algn="ctr" rotWithShape="0">
                    <a:srgbClr val="000000"/>
                  </a:outerShdw>
                </a:effectLst>
                <a:latin typeface="Impact" panose="020B0806030902050204" pitchFamily="34" charset="0"/>
              </a:rPr>
              <a:t>Gasket Calculator 6.0</a:t>
            </a:r>
          </a:p>
        </xdr:txBody>
      </xdr:sp>
      <xdr:sp macro="" textlink="">
        <xdr:nvSpPr>
          <xdr:cNvPr id="79" name="Round Same Side Corner Rectangle 78">
            <a:hlinkClick xmlns:r="http://schemas.openxmlformats.org/officeDocument/2006/relationships" r:id="rId33"/>
          </xdr:cNvPr>
          <xdr:cNvSpPr/>
        </xdr:nvSpPr>
        <xdr:spPr bwMode="auto">
          <a:xfrm flipV="1">
            <a:off x="1093731" y="860640"/>
            <a:ext cx="1008471"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QUICK</a:t>
            </a:r>
            <a:r>
              <a:rPr lang="en-US" sz="1100" b="1" baseline="0">
                <a:solidFill>
                  <a:schemeClr val="bg1"/>
                </a:solidFill>
              </a:rPr>
              <a:t> </a:t>
            </a:r>
            <a:r>
              <a:rPr lang="en-US" sz="1100" b="1">
                <a:solidFill>
                  <a:schemeClr val="bg1"/>
                </a:solidFill>
              </a:rPr>
              <a:t>TORQUE</a:t>
            </a:r>
          </a:p>
        </xdr:txBody>
      </xdr:sp>
      <xdr:sp macro="" textlink="">
        <xdr:nvSpPr>
          <xdr:cNvPr id="80" name="Round Same Side Corner Rectangle 79">
            <a:hlinkClick xmlns:r="http://schemas.openxmlformats.org/officeDocument/2006/relationships" r:id="rId34"/>
          </xdr:cNvPr>
          <xdr:cNvSpPr/>
        </xdr:nvSpPr>
        <xdr:spPr bwMode="auto">
          <a:xfrm flipV="1">
            <a:off x="2187806" y="860640"/>
            <a:ext cx="1010967"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G.S.T.</a:t>
            </a:r>
          </a:p>
        </xdr:txBody>
      </xdr:sp>
      <xdr:sp macro="" textlink="">
        <xdr:nvSpPr>
          <xdr:cNvPr id="81" name="Round Same Side Corner Rectangle 80">
            <a:hlinkClick xmlns:r="http://schemas.openxmlformats.org/officeDocument/2006/relationships" r:id="rId35"/>
          </xdr:cNvPr>
          <xdr:cNvSpPr/>
        </xdr:nvSpPr>
        <xdr:spPr bwMode="auto">
          <a:xfrm flipV="1">
            <a:off x="3283588" y="860640"/>
            <a:ext cx="1008054"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RING</a:t>
            </a:r>
            <a:r>
              <a:rPr lang="en-US" sz="1100" b="1" baseline="0">
                <a:solidFill>
                  <a:schemeClr val="bg1"/>
                </a:solidFill>
              </a:rPr>
              <a:t> GASKET</a:t>
            </a:r>
            <a:endParaRPr lang="en-US" sz="1100" b="1">
              <a:solidFill>
                <a:schemeClr val="bg1"/>
              </a:solidFill>
            </a:endParaRPr>
          </a:p>
        </xdr:txBody>
      </xdr:sp>
      <xdr:sp macro="" textlink="">
        <xdr:nvSpPr>
          <xdr:cNvPr id="82" name="Round Same Side Corner Rectangle 81">
            <a:hlinkClick xmlns:r="http://schemas.openxmlformats.org/officeDocument/2006/relationships" r:id="rId36"/>
          </xdr:cNvPr>
          <xdr:cNvSpPr/>
        </xdr:nvSpPr>
        <xdr:spPr bwMode="auto">
          <a:xfrm flipV="1">
            <a:off x="4376342" y="860640"/>
            <a:ext cx="1008470"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FULL FACE GASKET</a:t>
            </a:r>
          </a:p>
        </xdr:txBody>
      </xdr:sp>
      <xdr:sp macro="" textlink="">
        <xdr:nvSpPr>
          <xdr:cNvPr id="83" name="Round Same Side Corner Rectangle 82">
            <a:hlinkClick xmlns:r="http://schemas.openxmlformats.org/officeDocument/2006/relationships" r:id="rId37"/>
          </xdr:cNvPr>
          <xdr:cNvSpPr/>
        </xdr:nvSpPr>
        <xdr:spPr bwMode="auto">
          <a:xfrm flipV="1">
            <a:off x="5475727" y="860640"/>
            <a:ext cx="1005559"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RECTANGULAR GASKET</a:t>
            </a:r>
          </a:p>
        </xdr:txBody>
      </xdr:sp>
      <xdr:sp macro="" textlink="">
        <xdr:nvSpPr>
          <xdr:cNvPr id="84" name="Round Same Side Corner Rectangle 83">
            <a:hlinkClick xmlns:r="http://schemas.openxmlformats.org/officeDocument/2006/relationships" r:id="rId38"/>
          </xdr:cNvPr>
          <xdr:cNvSpPr/>
        </xdr:nvSpPr>
        <xdr:spPr bwMode="auto">
          <a:xfrm flipV="1">
            <a:off x="6563444" y="860640"/>
            <a:ext cx="1008887"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ELLIPTICAL GASKET</a:t>
            </a:r>
          </a:p>
        </xdr:txBody>
      </xdr:sp>
      <xdr:sp macro="" textlink="">
        <xdr:nvSpPr>
          <xdr:cNvPr id="85" name="Round Same Side Corner Rectangle 84">
            <a:hlinkClick xmlns:r="http://schemas.openxmlformats.org/officeDocument/2006/relationships" r:id="rId39"/>
          </xdr:cNvPr>
          <xdr:cNvSpPr/>
        </xdr:nvSpPr>
        <xdr:spPr bwMode="auto">
          <a:xfrm flipV="1">
            <a:off x="7652517" y="860640"/>
            <a:ext cx="1012974"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OBROUND GASKET</a:t>
            </a:r>
          </a:p>
        </xdr:txBody>
      </xdr:sp>
      <xdr:pic>
        <xdr:nvPicPr>
          <xdr:cNvPr id="86" name="Picture 85">
            <a:hlinkClick xmlns:r="http://schemas.openxmlformats.org/officeDocument/2006/relationships" r:id="rId40"/>
          </xdr:cNvPr>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62752" y="98615"/>
            <a:ext cx="2096658" cy="575198"/>
          </a:xfrm>
          <a:prstGeom prst="rect">
            <a:avLst/>
          </a:prstGeom>
        </xdr:spPr>
      </xdr:pic>
      <xdr:sp macro="" textlink="">
        <xdr:nvSpPr>
          <xdr:cNvPr id="87" name="Round Same Side Corner Rectangle 86">
            <a:hlinkClick xmlns:r="http://schemas.openxmlformats.org/officeDocument/2006/relationships" r:id="rId42"/>
          </xdr:cNvPr>
          <xdr:cNvSpPr/>
        </xdr:nvSpPr>
        <xdr:spPr bwMode="auto">
          <a:xfrm flipV="1">
            <a:off x="8740616" y="860640"/>
            <a:ext cx="1012974"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BOLT </a:t>
            </a:r>
            <a:r>
              <a:rPr lang="en-US" sz="1100" b="1" baseline="0">
                <a:solidFill>
                  <a:schemeClr val="bg1"/>
                </a:solidFill>
              </a:rPr>
              <a:t>TABLE</a:t>
            </a:r>
            <a:endParaRPr lang="en-US" sz="1100" b="1">
              <a:solidFill>
                <a:schemeClr val="bg1"/>
              </a:solidFill>
            </a:endParaRPr>
          </a:p>
        </xdr:txBody>
      </xdr:sp>
      <xdr:sp macro="" textlink="">
        <xdr:nvSpPr>
          <xdr:cNvPr id="88" name="Rectangle 87"/>
          <xdr:cNvSpPr/>
        </xdr:nvSpPr>
        <xdr:spPr bwMode="auto">
          <a:xfrm>
            <a:off x="0" y="708216"/>
            <a:ext cx="10874188" cy="170330"/>
          </a:xfrm>
          <a:prstGeom prst="rect">
            <a:avLst/>
          </a:prstGeom>
          <a:solidFill>
            <a:srgbClr val="132863"/>
          </a:solidFill>
          <a:ln w="12700"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65540</xdr:row>
      <xdr:rowOff>0</xdr:rowOff>
    </xdr:from>
    <xdr:to>
      <xdr:col>1</xdr:col>
      <xdr:colOff>0</xdr:colOff>
      <xdr:row>65540</xdr:row>
      <xdr:rowOff>0</xdr:rowOff>
    </xdr:to>
    <xdr:sp macro="" textlink="">
      <xdr:nvSpPr>
        <xdr:cNvPr id="10322" name="Text Box 82">
          <a:hlinkClick xmlns:r="http://schemas.openxmlformats.org/officeDocument/2006/relationships" r:id="rId1"/>
        </xdr:cNvPr>
        <xdr:cNvSpPr txBox="1">
          <a:spLocks noChangeArrowheads="1"/>
        </xdr:cNvSpPr>
      </xdr:nvSpPr>
      <xdr:spPr bwMode="auto">
        <a:xfrm>
          <a:off x="0" y="6591300"/>
          <a:ext cx="0" cy="0"/>
        </a:xfrm>
        <a:prstGeom prst="rect">
          <a:avLst/>
        </a:prstGeom>
        <a:noFill/>
        <a:ln w="38100" cmpd="dbl">
          <a:noFill/>
          <a:miter lim="800000"/>
          <a:headEnd/>
          <a:tailEnd/>
        </a:ln>
        <a:effectLst/>
      </xdr:spPr>
      <xdr:txBody>
        <a:bodyPr vertOverflow="clip" wrap="square" lIns="27432" tIns="27432" rIns="0" bIns="0" anchor="t" upright="1"/>
        <a:lstStyle/>
        <a:p>
          <a:pPr algn="l" rtl="0">
            <a:defRPr sz="1000"/>
          </a:pPr>
          <a:r>
            <a:rPr lang="en-US" sz="1100" b="1" i="0" u="none" strike="noStrike" baseline="0">
              <a:solidFill>
                <a:srgbClr val="FFFFFF"/>
              </a:solidFill>
              <a:latin typeface="Arial"/>
              <a:cs typeface="Arial"/>
            </a:rPr>
            <a:t>HOME PAGE</a:t>
          </a:r>
        </a:p>
      </xdr:txBody>
    </xdr:sp>
    <xdr:clientData/>
  </xdr:twoCellAnchor>
  <xdr:twoCellAnchor>
    <xdr:from>
      <xdr:col>1</xdr:col>
      <xdr:colOff>0</xdr:colOff>
      <xdr:row>36</xdr:row>
      <xdr:rowOff>161925</xdr:rowOff>
    </xdr:from>
    <xdr:to>
      <xdr:col>1</xdr:col>
      <xdr:colOff>0</xdr:colOff>
      <xdr:row>65540</xdr:row>
      <xdr:rowOff>0</xdr:rowOff>
    </xdr:to>
    <xdr:sp macro="" textlink="">
      <xdr:nvSpPr>
        <xdr:cNvPr id="10328" name="Rectangle 88">
          <a:hlinkClick xmlns:r="http://schemas.openxmlformats.org/officeDocument/2006/relationships" r:id="rId2"/>
        </xdr:cNvPr>
        <xdr:cNvSpPr>
          <a:spLocks noChangeArrowheads="1"/>
        </xdr:cNvSpPr>
      </xdr:nvSpPr>
      <xdr:spPr bwMode="auto">
        <a:xfrm>
          <a:off x="0" y="5581650"/>
          <a:ext cx="0" cy="1009650"/>
        </a:xfrm>
        <a:prstGeom prst="rect">
          <a:avLst/>
        </a:prstGeom>
        <a:noFill/>
        <a:ln w="38100" cmpd="dbl">
          <a:noFill/>
          <a:miter lim="800000"/>
          <a:headEnd/>
          <a:tailEnd/>
        </a:ln>
        <a:effectLst/>
      </xdr:spPr>
      <xdr:txBody>
        <a:bodyPr vertOverflow="clip" wrap="square" lIns="27432" tIns="27432" rIns="0" bIns="0" anchor="t" upright="1"/>
        <a:lstStyle/>
        <a:p>
          <a:pPr algn="l" rtl="0">
            <a:defRPr sz="1000"/>
          </a:pPr>
          <a:r>
            <a:rPr lang="en-US" sz="1100" b="1" i="0" u="none" strike="noStrike" baseline="0">
              <a:solidFill>
                <a:srgbClr val="FFFFFF"/>
              </a:solidFill>
              <a:latin typeface="Arial"/>
              <a:cs typeface="Arial"/>
            </a:rPr>
            <a:t>"Race Track"  Gasket</a:t>
          </a:r>
        </a:p>
        <a:p>
          <a:pPr algn="l" rtl="0">
            <a:defRPr sz="1000"/>
          </a:pPr>
          <a:r>
            <a:rPr lang="en-US" sz="1100" b="1" i="0" u="none" strike="noStrike" baseline="0">
              <a:solidFill>
                <a:srgbClr val="FFFFFF"/>
              </a:solidFill>
              <a:latin typeface="Arial"/>
              <a:cs typeface="Arial"/>
            </a:rPr>
            <a:t>Diagram</a:t>
          </a:r>
        </a:p>
      </xdr:txBody>
    </xdr:sp>
    <xdr:clientData/>
  </xdr:twoCellAnchor>
  <xdr:twoCellAnchor>
    <xdr:from>
      <xdr:col>1</xdr:col>
      <xdr:colOff>0</xdr:colOff>
      <xdr:row>36</xdr:row>
      <xdr:rowOff>180975</xdr:rowOff>
    </xdr:from>
    <xdr:to>
      <xdr:col>1</xdr:col>
      <xdr:colOff>0</xdr:colOff>
      <xdr:row>65540</xdr:row>
      <xdr:rowOff>0</xdr:rowOff>
    </xdr:to>
    <xdr:sp macro="" textlink="">
      <xdr:nvSpPr>
        <xdr:cNvPr id="10377" name="Oval 89">
          <a:hlinkClick xmlns:r="http://schemas.openxmlformats.org/officeDocument/2006/relationships" r:id="rId2"/>
        </xdr:cNvPr>
        <xdr:cNvSpPr>
          <a:spLocks noChangeArrowheads="1"/>
        </xdr:cNvSpPr>
      </xdr:nvSpPr>
      <xdr:spPr bwMode="auto">
        <a:xfrm>
          <a:off x="0" y="5600700"/>
          <a:ext cx="0" cy="990600"/>
        </a:xfrm>
        <a:prstGeom prst="ellipse">
          <a:avLst/>
        </a:prstGeom>
        <a:gradFill rotWithShape="0">
          <a:gsLst>
            <a:gs pos="0">
              <a:srgbClr val="FFFFFF"/>
            </a:gs>
            <a:gs pos="100000">
              <a:srgbClr val="333399"/>
            </a:gs>
          </a:gsLst>
          <a:path path="shape">
            <a:fillToRect l="50000" t="50000" r="50000" b="50000"/>
          </a:path>
        </a:gradFill>
        <a:ln>
          <a:noFill/>
        </a:ln>
        <a:extLst>
          <a:ext uri="{91240B29-F687-4F45-9708-019B960494DF}">
            <a14:hiddenLine xmlns:a14="http://schemas.microsoft.com/office/drawing/2010/main" w="38100" cmpd="dbl">
              <a:solidFill>
                <a:srgbClr val="000000"/>
              </a:solidFill>
              <a:round/>
              <a:headEnd/>
              <a:tailEnd/>
            </a14:hiddenLine>
          </a:ext>
        </a:extLst>
      </xdr:spPr>
    </xdr:sp>
    <xdr:clientData/>
  </xdr:twoCellAnchor>
  <xdr:twoCellAnchor>
    <xdr:from>
      <xdr:col>1</xdr:col>
      <xdr:colOff>0</xdr:colOff>
      <xdr:row>65540</xdr:row>
      <xdr:rowOff>0</xdr:rowOff>
    </xdr:from>
    <xdr:to>
      <xdr:col>1</xdr:col>
      <xdr:colOff>0</xdr:colOff>
      <xdr:row>65540</xdr:row>
      <xdr:rowOff>0</xdr:rowOff>
    </xdr:to>
    <xdr:sp macro="" textlink="">
      <xdr:nvSpPr>
        <xdr:cNvPr id="10331" name="Rectangle 91">
          <a:hlinkClick xmlns:r="http://schemas.openxmlformats.org/officeDocument/2006/relationships" r:id="rId3"/>
        </xdr:cNvPr>
        <xdr:cNvSpPr>
          <a:spLocks noChangeArrowheads="1"/>
        </xdr:cNvSpPr>
      </xdr:nvSpPr>
      <xdr:spPr bwMode="auto">
        <a:xfrm>
          <a:off x="0" y="6591300"/>
          <a:ext cx="0" cy="0"/>
        </a:xfrm>
        <a:prstGeom prst="rect">
          <a:avLst/>
        </a:prstGeom>
        <a:noFill/>
        <a:ln w="38100" cmpd="dbl">
          <a:noFill/>
          <a:miter lim="800000"/>
          <a:headEnd/>
          <a:tailEnd/>
        </a:ln>
        <a:effectLst/>
      </xdr:spPr>
      <xdr:txBody>
        <a:bodyPr vertOverflow="clip" wrap="square" lIns="27432" tIns="27432" rIns="0" bIns="0" anchor="t" upright="1"/>
        <a:lstStyle/>
        <a:p>
          <a:pPr algn="l" rtl="0">
            <a:defRPr sz="1000"/>
          </a:pPr>
          <a:r>
            <a:rPr lang="en-US" sz="1100" b="1" i="0" u="none" strike="noStrike" baseline="0">
              <a:solidFill>
                <a:srgbClr val="FFFFFF"/>
              </a:solidFill>
              <a:latin typeface="Arial"/>
              <a:cs typeface="Arial"/>
            </a:rPr>
            <a:t>Table 1</a:t>
          </a:r>
        </a:p>
      </xdr:txBody>
    </xdr:sp>
    <xdr:clientData/>
  </xdr:twoCellAnchor>
  <xdr:twoCellAnchor>
    <xdr:from>
      <xdr:col>1</xdr:col>
      <xdr:colOff>0</xdr:colOff>
      <xdr:row>65540</xdr:row>
      <xdr:rowOff>0</xdr:rowOff>
    </xdr:from>
    <xdr:to>
      <xdr:col>1</xdr:col>
      <xdr:colOff>0</xdr:colOff>
      <xdr:row>65540</xdr:row>
      <xdr:rowOff>0</xdr:rowOff>
    </xdr:to>
    <xdr:sp macro="" textlink="">
      <xdr:nvSpPr>
        <xdr:cNvPr id="10379" name="Oval 92">
          <a:hlinkClick xmlns:r="http://schemas.openxmlformats.org/officeDocument/2006/relationships" r:id="rId3"/>
        </xdr:cNvPr>
        <xdr:cNvSpPr>
          <a:spLocks noChangeArrowheads="1"/>
        </xdr:cNvSpPr>
      </xdr:nvSpPr>
      <xdr:spPr bwMode="auto">
        <a:xfrm>
          <a:off x="0" y="6591300"/>
          <a:ext cx="0" cy="0"/>
        </a:xfrm>
        <a:prstGeom prst="ellipse">
          <a:avLst/>
        </a:prstGeom>
        <a:gradFill rotWithShape="0">
          <a:gsLst>
            <a:gs pos="0">
              <a:srgbClr val="FFFFFF"/>
            </a:gs>
            <a:gs pos="100000">
              <a:srgbClr val="333399"/>
            </a:gs>
          </a:gsLst>
          <a:path path="shape">
            <a:fillToRect l="50000" t="50000" r="50000" b="50000"/>
          </a:path>
        </a:gradFill>
        <a:ln>
          <a:noFill/>
        </a:ln>
        <a:extLst>
          <a:ext uri="{91240B29-F687-4F45-9708-019B960494DF}">
            <a14:hiddenLine xmlns:a14="http://schemas.microsoft.com/office/drawing/2010/main" w="38100" cmpd="dbl">
              <a:solidFill>
                <a:srgbClr val="000000"/>
              </a:solidFill>
              <a:round/>
              <a:headEnd/>
              <a:tailEnd/>
            </a14:hiddenLine>
          </a:ext>
        </a:extLst>
      </xdr:spPr>
    </xdr:sp>
    <xdr:clientData/>
  </xdr:twoCellAnchor>
  <xdr:twoCellAnchor>
    <xdr:from>
      <xdr:col>15</xdr:col>
      <xdr:colOff>266700</xdr:colOff>
      <xdr:row>65540</xdr:row>
      <xdr:rowOff>0</xdr:rowOff>
    </xdr:from>
    <xdr:to>
      <xdr:col>15</xdr:col>
      <xdr:colOff>266700</xdr:colOff>
      <xdr:row>65540</xdr:row>
      <xdr:rowOff>0</xdr:rowOff>
    </xdr:to>
    <xdr:sp macro="" textlink="">
      <xdr:nvSpPr>
        <xdr:cNvPr id="10371" name="WordArt 131"/>
        <xdr:cNvSpPr>
          <a:spLocks noChangeArrowheads="1" noChangeShapeType="1" noTextEdit="1"/>
        </xdr:cNvSpPr>
      </xdr:nvSpPr>
      <xdr:spPr bwMode="auto">
        <a:xfrm>
          <a:off x="11353800" y="6591300"/>
          <a:ext cx="0" cy="0"/>
        </a:xfrm>
        <a:prstGeom prst="rect">
          <a:avLst/>
        </a:prstGeom>
      </xdr:spPr>
      <xdr:txBody>
        <a:bodyPr wrap="none" fromWordArt="1">
          <a:prstTxWarp prst="textFadeUp">
            <a:avLst>
              <a:gd name="adj" fmla="val 9991"/>
            </a:avLst>
          </a:prstTxWarp>
        </a:bodyPr>
        <a:lstStyle/>
        <a:p>
          <a:pPr algn="ctr" rtl="0"/>
          <a:r>
            <a:rPr lang="en-US" sz="3600" kern="10" spc="0">
              <a:ln w="12700">
                <a:solidFill>
                  <a:srgbClr val="B2B2B2"/>
                </a:solidFill>
                <a:round/>
                <a:headEnd/>
                <a:tailEnd/>
              </a:ln>
              <a:gradFill rotWithShape="0">
                <a:gsLst>
                  <a:gs pos="0">
                    <a:srgbClr val="333399"/>
                  </a:gs>
                  <a:gs pos="100000">
                    <a:srgbClr val="333399">
                      <a:gamma/>
                      <a:shade val="46275"/>
                      <a:invGamma/>
                    </a:srgbClr>
                  </a:gs>
                </a:gsLst>
                <a:lin ang="5400000" scaled="1"/>
              </a:gradFill>
              <a:effectLst>
                <a:outerShdw dist="35921" dir="2700000" sy="50000" rotWithShape="0">
                  <a:srgbClr val="875B0D"/>
                </a:outerShdw>
              </a:effectLst>
              <a:latin typeface="Arial Black"/>
            </a:rPr>
            <a:t>Gasket Man</a:t>
          </a:r>
        </a:p>
      </xdr:txBody>
    </xdr:sp>
    <xdr:clientData/>
  </xdr:twoCellAnchor>
  <xdr:twoCellAnchor>
    <xdr:from>
      <xdr:col>0</xdr:col>
      <xdr:colOff>0</xdr:colOff>
      <xdr:row>0</xdr:row>
      <xdr:rowOff>98615</xdr:rowOff>
    </xdr:from>
    <xdr:to>
      <xdr:col>12</xdr:col>
      <xdr:colOff>251012</xdr:colOff>
      <xdr:row>0</xdr:row>
      <xdr:rowOff>1296923</xdr:rowOff>
    </xdr:to>
    <xdr:grpSp>
      <xdr:nvGrpSpPr>
        <xdr:cNvPr id="5" name="Group 4"/>
        <xdr:cNvGrpSpPr/>
      </xdr:nvGrpSpPr>
      <xdr:grpSpPr>
        <a:xfrm>
          <a:off x="0" y="98615"/>
          <a:ext cx="10874188" cy="1198308"/>
          <a:chOff x="0" y="98615"/>
          <a:chExt cx="10874188" cy="1198308"/>
        </a:xfrm>
      </xdr:grpSpPr>
      <xdr:sp macro="" textlink="">
        <xdr:nvSpPr>
          <xdr:cNvPr id="24" name="Round Same Side Corner Rectangle 23">
            <a:hlinkClick xmlns:r="http://schemas.openxmlformats.org/officeDocument/2006/relationships" r:id="rId4"/>
          </xdr:cNvPr>
          <xdr:cNvSpPr/>
        </xdr:nvSpPr>
        <xdr:spPr bwMode="auto">
          <a:xfrm flipV="1">
            <a:off x="9834319" y="860614"/>
            <a:ext cx="1012974"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TECHNICAL</a:t>
            </a:r>
            <a:r>
              <a:rPr lang="en-US" sz="1100" b="1" baseline="0">
                <a:solidFill>
                  <a:schemeClr val="bg1"/>
                </a:solidFill>
              </a:rPr>
              <a:t> SUPPORT</a:t>
            </a:r>
            <a:endParaRPr lang="en-US" sz="1100" b="1">
              <a:solidFill>
                <a:schemeClr val="bg1"/>
              </a:solidFill>
            </a:endParaRPr>
          </a:p>
        </xdr:txBody>
      </xdr:sp>
      <xdr:sp macro="" textlink="">
        <xdr:nvSpPr>
          <xdr:cNvPr id="25" name="Round Same Side Corner Rectangle 24">
            <a:hlinkClick xmlns:r="http://schemas.openxmlformats.org/officeDocument/2006/relationships" r:id="rId5"/>
          </xdr:cNvPr>
          <xdr:cNvSpPr/>
        </xdr:nvSpPr>
        <xdr:spPr bwMode="auto">
          <a:xfrm flipV="1">
            <a:off x="1" y="860640"/>
            <a:ext cx="1008471"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HOME</a:t>
            </a:r>
          </a:p>
        </xdr:txBody>
      </xdr:sp>
      <xdr:sp macro="" textlink="">
        <xdr:nvSpPr>
          <xdr:cNvPr id="26" name="WordArt 53"/>
          <xdr:cNvSpPr>
            <a:spLocks noChangeArrowheads="1" noChangeShapeType="1" noTextEdit="1"/>
          </xdr:cNvSpPr>
        </xdr:nvSpPr>
        <xdr:spPr bwMode="auto">
          <a:xfrm>
            <a:off x="6947646" y="197225"/>
            <a:ext cx="3729319" cy="286871"/>
          </a:xfrm>
          <a:prstGeom prst="rect">
            <a:avLst/>
          </a:prstGeom>
        </xdr:spPr>
        <xdr:txBody>
          <a:bodyPr wrap="none" fromWordArt="1">
            <a:prstTxWarp prst="textPlain">
              <a:avLst>
                <a:gd name="adj" fmla="val 50000"/>
              </a:avLst>
            </a:prstTxWarp>
          </a:bodyPr>
          <a:lstStyle/>
          <a:p>
            <a:pPr algn="ctr" rtl="0"/>
            <a:r>
              <a:rPr lang="en-US" sz="4800" b="0" i="1" kern="10" spc="0">
                <a:ln w="9525">
                  <a:solidFill>
                    <a:schemeClr val="tx1"/>
                  </a:solidFill>
                  <a:round/>
                  <a:headEnd/>
                  <a:tailEnd/>
                </a:ln>
                <a:gradFill flip="none" rotWithShape="1">
                  <a:gsLst>
                    <a:gs pos="0">
                      <a:srgbClr val="FFFFFF"/>
                    </a:gs>
                    <a:gs pos="7001">
                      <a:srgbClr val="E6E6E6"/>
                    </a:gs>
                    <a:gs pos="32001">
                      <a:schemeClr val="bg1">
                        <a:lumMod val="75000"/>
                      </a:schemeClr>
                    </a:gs>
                    <a:gs pos="47000">
                      <a:srgbClr val="E6E6E6"/>
                    </a:gs>
                    <a:gs pos="85001">
                      <a:schemeClr val="bg1">
                        <a:lumMod val="75000"/>
                      </a:schemeClr>
                    </a:gs>
                    <a:gs pos="100000">
                      <a:srgbClr val="E6E6E6"/>
                    </a:gs>
                  </a:gsLst>
                  <a:lin ang="2700000" scaled="1"/>
                  <a:tileRect/>
                </a:gradFill>
                <a:effectLst>
                  <a:outerShdw dist="35921" dir="2700000" algn="ctr" rotWithShape="0">
                    <a:srgbClr val="000000"/>
                  </a:outerShdw>
                </a:effectLst>
                <a:latin typeface="Impact" panose="020B0806030902050204" pitchFamily="34" charset="0"/>
              </a:rPr>
              <a:t>Gasket Calculator 6.0</a:t>
            </a:r>
          </a:p>
        </xdr:txBody>
      </xdr:sp>
      <xdr:sp macro="" textlink="">
        <xdr:nvSpPr>
          <xdr:cNvPr id="27" name="Round Same Side Corner Rectangle 26">
            <a:hlinkClick xmlns:r="http://schemas.openxmlformats.org/officeDocument/2006/relationships" r:id="rId6"/>
          </xdr:cNvPr>
          <xdr:cNvSpPr/>
        </xdr:nvSpPr>
        <xdr:spPr bwMode="auto">
          <a:xfrm flipV="1">
            <a:off x="1093731" y="860640"/>
            <a:ext cx="1008471"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QUICK</a:t>
            </a:r>
            <a:r>
              <a:rPr lang="en-US" sz="1100" b="1" baseline="0">
                <a:solidFill>
                  <a:schemeClr val="bg1"/>
                </a:solidFill>
              </a:rPr>
              <a:t> </a:t>
            </a:r>
            <a:r>
              <a:rPr lang="en-US" sz="1100" b="1">
                <a:solidFill>
                  <a:schemeClr val="bg1"/>
                </a:solidFill>
              </a:rPr>
              <a:t>TORQUE</a:t>
            </a:r>
          </a:p>
        </xdr:txBody>
      </xdr:sp>
      <xdr:sp macro="" textlink="">
        <xdr:nvSpPr>
          <xdr:cNvPr id="28" name="Round Same Side Corner Rectangle 27">
            <a:hlinkClick xmlns:r="http://schemas.openxmlformats.org/officeDocument/2006/relationships" r:id="rId7"/>
          </xdr:cNvPr>
          <xdr:cNvSpPr/>
        </xdr:nvSpPr>
        <xdr:spPr bwMode="auto">
          <a:xfrm flipV="1">
            <a:off x="2187806" y="860640"/>
            <a:ext cx="1010967"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G.S.T.</a:t>
            </a:r>
          </a:p>
        </xdr:txBody>
      </xdr:sp>
      <xdr:sp macro="" textlink="">
        <xdr:nvSpPr>
          <xdr:cNvPr id="29" name="Round Same Side Corner Rectangle 28">
            <a:hlinkClick xmlns:r="http://schemas.openxmlformats.org/officeDocument/2006/relationships" r:id="rId8"/>
          </xdr:cNvPr>
          <xdr:cNvSpPr/>
        </xdr:nvSpPr>
        <xdr:spPr bwMode="auto">
          <a:xfrm flipV="1">
            <a:off x="3283588" y="860640"/>
            <a:ext cx="1008054"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RING</a:t>
            </a:r>
            <a:r>
              <a:rPr lang="en-US" sz="1100" b="1" baseline="0">
                <a:solidFill>
                  <a:schemeClr val="bg1"/>
                </a:solidFill>
              </a:rPr>
              <a:t> GASKET</a:t>
            </a:r>
            <a:endParaRPr lang="en-US" sz="1100" b="1">
              <a:solidFill>
                <a:schemeClr val="bg1"/>
              </a:solidFill>
            </a:endParaRPr>
          </a:p>
        </xdr:txBody>
      </xdr:sp>
      <xdr:sp macro="" textlink="">
        <xdr:nvSpPr>
          <xdr:cNvPr id="30" name="Round Same Side Corner Rectangle 29">
            <a:hlinkClick xmlns:r="http://schemas.openxmlformats.org/officeDocument/2006/relationships" r:id="rId9"/>
          </xdr:cNvPr>
          <xdr:cNvSpPr/>
        </xdr:nvSpPr>
        <xdr:spPr bwMode="auto">
          <a:xfrm flipV="1">
            <a:off x="4376342" y="860640"/>
            <a:ext cx="1008470"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FULL FACE GASKET</a:t>
            </a:r>
          </a:p>
        </xdr:txBody>
      </xdr:sp>
      <xdr:sp macro="" textlink="">
        <xdr:nvSpPr>
          <xdr:cNvPr id="31" name="Round Same Side Corner Rectangle 30">
            <a:hlinkClick xmlns:r="http://schemas.openxmlformats.org/officeDocument/2006/relationships" r:id="rId10"/>
          </xdr:cNvPr>
          <xdr:cNvSpPr/>
        </xdr:nvSpPr>
        <xdr:spPr bwMode="auto">
          <a:xfrm flipV="1">
            <a:off x="5475727" y="860640"/>
            <a:ext cx="1005559"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RECTANGULAR GASKET</a:t>
            </a:r>
          </a:p>
        </xdr:txBody>
      </xdr:sp>
      <xdr:sp macro="" textlink="">
        <xdr:nvSpPr>
          <xdr:cNvPr id="32" name="Round Same Side Corner Rectangle 31">
            <a:hlinkClick xmlns:r="http://schemas.openxmlformats.org/officeDocument/2006/relationships" r:id="rId11"/>
          </xdr:cNvPr>
          <xdr:cNvSpPr/>
        </xdr:nvSpPr>
        <xdr:spPr bwMode="auto">
          <a:xfrm flipV="1">
            <a:off x="6563444" y="860640"/>
            <a:ext cx="1008887"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ELLIPTICAL GASKET</a:t>
            </a:r>
          </a:p>
        </xdr:txBody>
      </xdr:sp>
      <xdr:sp macro="" textlink="">
        <xdr:nvSpPr>
          <xdr:cNvPr id="33" name="Round Same Side Corner Rectangle 32">
            <a:hlinkClick xmlns:r="http://schemas.openxmlformats.org/officeDocument/2006/relationships" r:id="rId12"/>
          </xdr:cNvPr>
          <xdr:cNvSpPr/>
        </xdr:nvSpPr>
        <xdr:spPr bwMode="auto">
          <a:xfrm flipV="1">
            <a:off x="7652517" y="860640"/>
            <a:ext cx="1012974"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OBROUND GASKET</a:t>
            </a:r>
          </a:p>
        </xdr:txBody>
      </xdr:sp>
      <xdr:pic>
        <xdr:nvPicPr>
          <xdr:cNvPr id="34" name="Picture 33">
            <a:hlinkClick xmlns:r="http://schemas.openxmlformats.org/officeDocument/2006/relationships" r:id="rId13"/>
          </xdr:cNvPr>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62752" y="98615"/>
            <a:ext cx="2096658" cy="575198"/>
          </a:xfrm>
          <a:prstGeom prst="rect">
            <a:avLst/>
          </a:prstGeom>
        </xdr:spPr>
      </xdr:pic>
      <xdr:sp macro="" textlink="">
        <xdr:nvSpPr>
          <xdr:cNvPr id="35" name="Round Same Side Corner Rectangle 34">
            <a:hlinkClick xmlns:r="http://schemas.openxmlformats.org/officeDocument/2006/relationships" r:id="rId15"/>
          </xdr:cNvPr>
          <xdr:cNvSpPr/>
        </xdr:nvSpPr>
        <xdr:spPr bwMode="auto">
          <a:xfrm flipV="1">
            <a:off x="8740616" y="860640"/>
            <a:ext cx="1012974"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BOLT </a:t>
            </a:r>
            <a:r>
              <a:rPr lang="en-US" sz="1100" b="1" baseline="0">
                <a:solidFill>
                  <a:schemeClr val="bg1"/>
                </a:solidFill>
              </a:rPr>
              <a:t>TABLE</a:t>
            </a:r>
            <a:endParaRPr lang="en-US" sz="1100" b="1">
              <a:solidFill>
                <a:schemeClr val="bg1"/>
              </a:solidFill>
            </a:endParaRPr>
          </a:p>
        </xdr:txBody>
      </xdr:sp>
      <xdr:sp macro="" textlink="">
        <xdr:nvSpPr>
          <xdr:cNvPr id="36" name="Rectangle 35"/>
          <xdr:cNvSpPr/>
        </xdr:nvSpPr>
        <xdr:spPr bwMode="auto">
          <a:xfrm>
            <a:off x="0" y="708216"/>
            <a:ext cx="10874188" cy="170330"/>
          </a:xfrm>
          <a:prstGeom prst="rect">
            <a:avLst/>
          </a:prstGeom>
          <a:solidFill>
            <a:srgbClr val="132863"/>
          </a:solidFill>
          <a:ln w="12700"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grpSp>
    <xdr:clientData/>
  </xdr:twoCellAnchor>
  <xdr:twoCellAnchor editAs="oneCell">
    <xdr:from>
      <xdr:col>7</xdr:col>
      <xdr:colOff>98612</xdr:colOff>
      <xdr:row>7</xdr:row>
      <xdr:rowOff>102896</xdr:rowOff>
    </xdr:from>
    <xdr:to>
      <xdr:col>13</xdr:col>
      <xdr:colOff>0</xdr:colOff>
      <xdr:row>43</xdr:row>
      <xdr:rowOff>117886</xdr:rowOff>
    </xdr:to>
    <xdr:pic>
      <xdr:nvPicPr>
        <xdr:cNvPr id="4" name="Picture 3"/>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5602941" y="2935743"/>
          <a:ext cx="5298141" cy="552828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304798</xdr:colOff>
      <xdr:row>6</xdr:row>
      <xdr:rowOff>97972</xdr:rowOff>
    </xdr:from>
    <xdr:to>
      <xdr:col>12</xdr:col>
      <xdr:colOff>135772</xdr:colOff>
      <xdr:row>8</xdr:row>
      <xdr:rowOff>58966</xdr:rowOff>
    </xdr:to>
    <xdr:sp macro="" textlink="">
      <xdr:nvSpPr>
        <xdr:cNvPr id="3" name="Rounded Rectangle 2">
          <a:hlinkClick xmlns:r="http://schemas.openxmlformats.org/officeDocument/2006/relationships" r:id="rId1"/>
        </xdr:cNvPr>
        <xdr:cNvSpPr>
          <a:spLocks noChangeAspect="1"/>
        </xdr:cNvSpPr>
      </xdr:nvSpPr>
      <xdr:spPr bwMode="auto">
        <a:xfrm>
          <a:off x="8104907" y="2993572"/>
          <a:ext cx="2560320" cy="404339"/>
        </a:xfrm>
        <a:prstGeom prst="roundRect">
          <a:avLst/>
        </a:prstGeom>
        <a:solidFill>
          <a:srgbClr val="3546E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anchorCtr="0" upright="1"/>
        <a:lstStyle/>
        <a:p>
          <a:pPr algn="ctr"/>
          <a:r>
            <a:rPr lang="en-US" sz="1800" b="1">
              <a:solidFill>
                <a:schemeClr val="bg1"/>
              </a:solidFill>
            </a:rPr>
            <a:t>Garlock.com</a:t>
          </a:r>
        </a:p>
      </xdr:txBody>
    </xdr:sp>
    <xdr:clientData/>
  </xdr:twoCellAnchor>
  <xdr:twoCellAnchor>
    <xdr:from>
      <xdr:col>9</xdr:col>
      <xdr:colOff>304797</xdr:colOff>
      <xdr:row>9</xdr:row>
      <xdr:rowOff>21773</xdr:rowOff>
    </xdr:from>
    <xdr:to>
      <xdr:col>12</xdr:col>
      <xdr:colOff>135771</xdr:colOff>
      <xdr:row>12</xdr:row>
      <xdr:rowOff>101405</xdr:rowOff>
    </xdr:to>
    <xdr:sp macro="" textlink="">
      <xdr:nvSpPr>
        <xdr:cNvPr id="63" name="Rounded Rectangle 62">
          <a:hlinkClick xmlns:r="http://schemas.openxmlformats.org/officeDocument/2006/relationships" r:id="rId2"/>
        </xdr:cNvPr>
        <xdr:cNvSpPr>
          <a:spLocks noChangeAspect="1"/>
        </xdr:cNvSpPr>
      </xdr:nvSpPr>
      <xdr:spPr bwMode="auto">
        <a:xfrm>
          <a:off x="8104906" y="3623955"/>
          <a:ext cx="2560320" cy="412141"/>
        </a:xfrm>
        <a:prstGeom prst="roundRect">
          <a:avLst/>
        </a:prstGeom>
        <a:solidFill>
          <a:srgbClr val="3546E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anchorCtr="0" upright="1"/>
        <a:lstStyle/>
        <a:p>
          <a:pPr algn="ctr"/>
          <a:r>
            <a:rPr lang="en-US" sz="1800" b="1">
              <a:solidFill>
                <a:schemeClr val="bg1"/>
              </a:solidFill>
            </a:rPr>
            <a:t>Engineering</a:t>
          </a:r>
          <a:r>
            <a:rPr lang="en-US" sz="1800" b="1" baseline="0">
              <a:solidFill>
                <a:schemeClr val="bg1"/>
              </a:solidFill>
            </a:rPr>
            <a:t> Tools</a:t>
          </a:r>
          <a:endParaRPr lang="en-US" sz="1800" b="1">
            <a:solidFill>
              <a:schemeClr val="bg1"/>
            </a:solidFill>
          </a:endParaRPr>
        </a:p>
      </xdr:txBody>
    </xdr:sp>
    <xdr:clientData/>
  </xdr:twoCellAnchor>
  <xdr:twoCellAnchor>
    <xdr:from>
      <xdr:col>9</xdr:col>
      <xdr:colOff>304797</xdr:colOff>
      <xdr:row>14</xdr:row>
      <xdr:rowOff>65315</xdr:rowOff>
    </xdr:from>
    <xdr:to>
      <xdr:col>12</xdr:col>
      <xdr:colOff>135771</xdr:colOff>
      <xdr:row>16</xdr:row>
      <xdr:rowOff>215100</xdr:rowOff>
    </xdr:to>
    <xdr:sp macro="" textlink="">
      <xdr:nvSpPr>
        <xdr:cNvPr id="64" name="Rounded Rectangle 63">
          <a:hlinkClick xmlns:r="http://schemas.openxmlformats.org/officeDocument/2006/relationships" r:id="rId3"/>
        </xdr:cNvPr>
        <xdr:cNvSpPr>
          <a:spLocks noChangeAspect="1"/>
        </xdr:cNvSpPr>
      </xdr:nvSpPr>
      <xdr:spPr bwMode="auto">
        <a:xfrm>
          <a:off x="8104906" y="4277097"/>
          <a:ext cx="2560320" cy="426876"/>
        </a:xfrm>
        <a:prstGeom prst="roundRect">
          <a:avLst/>
        </a:prstGeom>
        <a:solidFill>
          <a:srgbClr val="3546E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anchorCtr="0" upright="1"/>
        <a:lstStyle/>
        <a:p>
          <a:pPr algn="ctr"/>
          <a:r>
            <a:rPr lang="en-US" sz="1800" b="1">
              <a:solidFill>
                <a:schemeClr val="bg1"/>
              </a:solidFill>
            </a:rPr>
            <a:t>Installation Instructions</a:t>
          </a:r>
        </a:p>
      </xdr:txBody>
    </xdr:sp>
    <xdr:clientData/>
  </xdr:twoCellAnchor>
  <xdr:twoCellAnchor>
    <xdr:from>
      <xdr:col>9</xdr:col>
      <xdr:colOff>293913</xdr:colOff>
      <xdr:row>18</xdr:row>
      <xdr:rowOff>174173</xdr:rowOff>
    </xdr:from>
    <xdr:to>
      <xdr:col>12</xdr:col>
      <xdr:colOff>124887</xdr:colOff>
      <xdr:row>21</xdr:row>
      <xdr:rowOff>131728</xdr:rowOff>
    </xdr:to>
    <xdr:sp macro="" textlink="">
      <xdr:nvSpPr>
        <xdr:cNvPr id="65" name="Rounded Rectangle 64">
          <a:hlinkClick xmlns:r="http://schemas.openxmlformats.org/officeDocument/2006/relationships" r:id="rId4"/>
        </xdr:cNvPr>
        <xdr:cNvSpPr>
          <a:spLocks noChangeAspect="1"/>
        </xdr:cNvSpPr>
      </xdr:nvSpPr>
      <xdr:spPr bwMode="auto">
        <a:xfrm>
          <a:off x="8094022" y="4940137"/>
          <a:ext cx="2560320" cy="428609"/>
        </a:xfrm>
        <a:prstGeom prst="roundRect">
          <a:avLst/>
        </a:prstGeom>
        <a:solidFill>
          <a:srgbClr val="3546E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anchorCtr="0" upright="1"/>
        <a:lstStyle/>
        <a:p>
          <a:pPr algn="ctr"/>
          <a:r>
            <a:rPr lang="en-US" sz="1800" b="1">
              <a:solidFill>
                <a:schemeClr val="bg1"/>
              </a:solidFill>
            </a:rPr>
            <a:t>Product Selector</a:t>
          </a:r>
        </a:p>
      </xdr:txBody>
    </xdr:sp>
    <xdr:clientData/>
  </xdr:twoCellAnchor>
  <xdr:twoCellAnchor editAs="oneCell">
    <xdr:from>
      <xdr:col>0</xdr:col>
      <xdr:colOff>195942</xdr:colOff>
      <xdr:row>8</xdr:row>
      <xdr:rowOff>87085</xdr:rowOff>
    </xdr:from>
    <xdr:to>
      <xdr:col>1</xdr:col>
      <xdr:colOff>1618327</xdr:colOff>
      <xdr:row>20</xdr:row>
      <xdr:rowOff>218803</xdr:rowOff>
    </xdr:to>
    <xdr:pic>
      <xdr:nvPicPr>
        <xdr:cNvPr id="6" name="Picture 5"/>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95942" y="3744685"/>
          <a:ext cx="2042871" cy="1786346"/>
        </a:xfrm>
        <a:prstGeom prst="rect">
          <a:avLst/>
        </a:prstGeom>
      </xdr:spPr>
    </xdr:pic>
    <xdr:clientData/>
  </xdr:twoCellAnchor>
  <xdr:twoCellAnchor>
    <xdr:from>
      <xdr:col>0</xdr:col>
      <xdr:colOff>0</xdr:colOff>
      <xdr:row>0</xdr:row>
      <xdr:rowOff>98615</xdr:rowOff>
    </xdr:from>
    <xdr:to>
      <xdr:col>12</xdr:col>
      <xdr:colOff>367553</xdr:colOff>
      <xdr:row>0</xdr:row>
      <xdr:rowOff>1296923</xdr:rowOff>
    </xdr:to>
    <xdr:grpSp>
      <xdr:nvGrpSpPr>
        <xdr:cNvPr id="4" name="Group 3"/>
        <xdr:cNvGrpSpPr/>
      </xdr:nvGrpSpPr>
      <xdr:grpSpPr>
        <a:xfrm>
          <a:off x="0" y="98615"/>
          <a:ext cx="10874188" cy="1198308"/>
          <a:chOff x="0" y="98615"/>
          <a:chExt cx="10874188" cy="1198308"/>
        </a:xfrm>
      </xdr:grpSpPr>
      <xdr:sp macro="" textlink="">
        <xdr:nvSpPr>
          <xdr:cNvPr id="22" name="Round Same Side Corner Rectangle 21">
            <a:hlinkClick xmlns:r="http://schemas.openxmlformats.org/officeDocument/2006/relationships" r:id="rId6"/>
          </xdr:cNvPr>
          <xdr:cNvSpPr/>
        </xdr:nvSpPr>
        <xdr:spPr bwMode="auto">
          <a:xfrm flipV="1">
            <a:off x="9834319" y="860614"/>
            <a:ext cx="1012974"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TECHNICAL</a:t>
            </a:r>
            <a:r>
              <a:rPr lang="en-US" sz="1100" b="1" baseline="0">
                <a:solidFill>
                  <a:schemeClr val="bg1"/>
                </a:solidFill>
              </a:rPr>
              <a:t> SUPPORT</a:t>
            </a:r>
            <a:endParaRPr lang="en-US" sz="1100" b="1">
              <a:solidFill>
                <a:schemeClr val="bg1"/>
              </a:solidFill>
            </a:endParaRPr>
          </a:p>
        </xdr:txBody>
      </xdr:sp>
      <xdr:sp macro="" textlink="">
        <xdr:nvSpPr>
          <xdr:cNvPr id="23" name="Round Same Side Corner Rectangle 22">
            <a:hlinkClick xmlns:r="http://schemas.openxmlformats.org/officeDocument/2006/relationships" r:id="rId7"/>
          </xdr:cNvPr>
          <xdr:cNvSpPr/>
        </xdr:nvSpPr>
        <xdr:spPr bwMode="auto">
          <a:xfrm flipV="1">
            <a:off x="1" y="860640"/>
            <a:ext cx="1008471"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HOME</a:t>
            </a:r>
          </a:p>
        </xdr:txBody>
      </xdr:sp>
      <xdr:sp macro="" textlink="">
        <xdr:nvSpPr>
          <xdr:cNvPr id="24" name="WordArt 53"/>
          <xdr:cNvSpPr>
            <a:spLocks noChangeArrowheads="1" noChangeShapeType="1" noTextEdit="1"/>
          </xdr:cNvSpPr>
        </xdr:nvSpPr>
        <xdr:spPr bwMode="auto">
          <a:xfrm>
            <a:off x="6947646" y="197225"/>
            <a:ext cx="3729319" cy="286871"/>
          </a:xfrm>
          <a:prstGeom prst="rect">
            <a:avLst/>
          </a:prstGeom>
        </xdr:spPr>
        <xdr:txBody>
          <a:bodyPr wrap="none" fromWordArt="1">
            <a:prstTxWarp prst="textPlain">
              <a:avLst>
                <a:gd name="adj" fmla="val 50000"/>
              </a:avLst>
            </a:prstTxWarp>
          </a:bodyPr>
          <a:lstStyle/>
          <a:p>
            <a:pPr algn="ctr" rtl="0"/>
            <a:r>
              <a:rPr lang="en-US" sz="4800" b="0" i="1" kern="10" spc="0">
                <a:ln w="9525">
                  <a:solidFill>
                    <a:schemeClr val="tx1"/>
                  </a:solidFill>
                  <a:round/>
                  <a:headEnd/>
                  <a:tailEnd/>
                </a:ln>
                <a:gradFill flip="none" rotWithShape="1">
                  <a:gsLst>
                    <a:gs pos="0">
                      <a:srgbClr val="FFFFFF"/>
                    </a:gs>
                    <a:gs pos="7001">
                      <a:srgbClr val="E6E6E6"/>
                    </a:gs>
                    <a:gs pos="32001">
                      <a:schemeClr val="bg1">
                        <a:lumMod val="75000"/>
                      </a:schemeClr>
                    </a:gs>
                    <a:gs pos="47000">
                      <a:srgbClr val="E6E6E6"/>
                    </a:gs>
                    <a:gs pos="85001">
                      <a:schemeClr val="bg1">
                        <a:lumMod val="75000"/>
                      </a:schemeClr>
                    </a:gs>
                    <a:gs pos="100000">
                      <a:srgbClr val="E6E6E6"/>
                    </a:gs>
                  </a:gsLst>
                  <a:lin ang="2700000" scaled="1"/>
                  <a:tileRect/>
                </a:gradFill>
                <a:effectLst>
                  <a:outerShdw dist="35921" dir="2700000" algn="ctr" rotWithShape="0">
                    <a:srgbClr val="000000"/>
                  </a:outerShdw>
                </a:effectLst>
                <a:latin typeface="Impact" panose="020B0806030902050204" pitchFamily="34" charset="0"/>
              </a:rPr>
              <a:t>Gasket Calculator 6.0</a:t>
            </a:r>
          </a:p>
        </xdr:txBody>
      </xdr:sp>
      <xdr:sp macro="" textlink="">
        <xdr:nvSpPr>
          <xdr:cNvPr id="25" name="Round Same Side Corner Rectangle 24">
            <a:hlinkClick xmlns:r="http://schemas.openxmlformats.org/officeDocument/2006/relationships" r:id="rId8"/>
          </xdr:cNvPr>
          <xdr:cNvSpPr/>
        </xdr:nvSpPr>
        <xdr:spPr bwMode="auto">
          <a:xfrm flipV="1">
            <a:off x="1093731" y="860640"/>
            <a:ext cx="1008471"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QUICK</a:t>
            </a:r>
            <a:r>
              <a:rPr lang="en-US" sz="1100" b="1" baseline="0">
                <a:solidFill>
                  <a:schemeClr val="bg1"/>
                </a:solidFill>
              </a:rPr>
              <a:t> </a:t>
            </a:r>
            <a:r>
              <a:rPr lang="en-US" sz="1100" b="1">
                <a:solidFill>
                  <a:schemeClr val="bg1"/>
                </a:solidFill>
              </a:rPr>
              <a:t>TORQUE</a:t>
            </a:r>
          </a:p>
        </xdr:txBody>
      </xdr:sp>
      <xdr:sp macro="" textlink="">
        <xdr:nvSpPr>
          <xdr:cNvPr id="26" name="Round Same Side Corner Rectangle 25">
            <a:hlinkClick xmlns:r="http://schemas.openxmlformats.org/officeDocument/2006/relationships" r:id="rId9"/>
          </xdr:cNvPr>
          <xdr:cNvSpPr/>
        </xdr:nvSpPr>
        <xdr:spPr bwMode="auto">
          <a:xfrm flipV="1">
            <a:off x="2187806" y="860640"/>
            <a:ext cx="1010967"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G.S.T.</a:t>
            </a:r>
          </a:p>
        </xdr:txBody>
      </xdr:sp>
      <xdr:sp macro="" textlink="">
        <xdr:nvSpPr>
          <xdr:cNvPr id="27" name="Round Same Side Corner Rectangle 26">
            <a:hlinkClick xmlns:r="http://schemas.openxmlformats.org/officeDocument/2006/relationships" r:id="rId10"/>
          </xdr:cNvPr>
          <xdr:cNvSpPr/>
        </xdr:nvSpPr>
        <xdr:spPr bwMode="auto">
          <a:xfrm flipV="1">
            <a:off x="3283588" y="860640"/>
            <a:ext cx="1008054"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RING</a:t>
            </a:r>
            <a:r>
              <a:rPr lang="en-US" sz="1100" b="1" baseline="0">
                <a:solidFill>
                  <a:schemeClr val="bg1"/>
                </a:solidFill>
              </a:rPr>
              <a:t> GASKET</a:t>
            </a:r>
            <a:endParaRPr lang="en-US" sz="1100" b="1">
              <a:solidFill>
                <a:schemeClr val="bg1"/>
              </a:solidFill>
            </a:endParaRPr>
          </a:p>
        </xdr:txBody>
      </xdr:sp>
      <xdr:sp macro="" textlink="">
        <xdr:nvSpPr>
          <xdr:cNvPr id="28" name="Round Same Side Corner Rectangle 27">
            <a:hlinkClick xmlns:r="http://schemas.openxmlformats.org/officeDocument/2006/relationships" r:id="rId11"/>
          </xdr:cNvPr>
          <xdr:cNvSpPr/>
        </xdr:nvSpPr>
        <xdr:spPr bwMode="auto">
          <a:xfrm flipV="1">
            <a:off x="4376342" y="860640"/>
            <a:ext cx="1008470"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FULL FACE GASKET</a:t>
            </a:r>
          </a:p>
        </xdr:txBody>
      </xdr:sp>
      <xdr:sp macro="" textlink="">
        <xdr:nvSpPr>
          <xdr:cNvPr id="29" name="Round Same Side Corner Rectangle 28">
            <a:hlinkClick xmlns:r="http://schemas.openxmlformats.org/officeDocument/2006/relationships" r:id="rId12"/>
          </xdr:cNvPr>
          <xdr:cNvSpPr/>
        </xdr:nvSpPr>
        <xdr:spPr bwMode="auto">
          <a:xfrm flipV="1">
            <a:off x="5475727" y="860640"/>
            <a:ext cx="1005559"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RECTANGULAR GASKET</a:t>
            </a:r>
          </a:p>
        </xdr:txBody>
      </xdr:sp>
      <xdr:sp macro="" textlink="">
        <xdr:nvSpPr>
          <xdr:cNvPr id="30" name="Round Same Side Corner Rectangle 29">
            <a:hlinkClick xmlns:r="http://schemas.openxmlformats.org/officeDocument/2006/relationships" r:id="rId13"/>
          </xdr:cNvPr>
          <xdr:cNvSpPr/>
        </xdr:nvSpPr>
        <xdr:spPr bwMode="auto">
          <a:xfrm flipV="1">
            <a:off x="6563444" y="860640"/>
            <a:ext cx="1008887"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ELLIPTICAL GASKET</a:t>
            </a:r>
          </a:p>
        </xdr:txBody>
      </xdr:sp>
      <xdr:sp macro="" textlink="">
        <xdr:nvSpPr>
          <xdr:cNvPr id="31" name="Round Same Side Corner Rectangle 30">
            <a:hlinkClick xmlns:r="http://schemas.openxmlformats.org/officeDocument/2006/relationships" r:id="rId14"/>
          </xdr:cNvPr>
          <xdr:cNvSpPr/>
        </xdr:nvSpPr>
        <xdr:spPr bwMode="auto">
          <a:xfrm flipV="1">
            <a:off x="7652517" y="860640"/>
            <a:ext cx="1012974"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OBROUND GASKET</a:t>
            </a:r>
          </a:p>
        </xdr:txBody>
      </xdr:sp>
      <xdr:pic>
        <xdr:nvPicPr>
          <xdr:cNvPr id="32" name="Picture 31">
            <a:hlinkClick xmlns:r="http://schemas.openxmlformats.org/officeDocument/2006/relationships" r:id="rId1"/>
          </xdr:cNvPr>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62752" y="98615"/>
            <a:ext cx="2096658" cy="575198"/>
          </a:xfrm>
          <a:prstGeom prst="rect">
            <a:avLst/>
          </a:prstGeom>
        </xdr:spPr>
      </xdr:pic>
      <xdr:sp macro="" textlink="">
        <xdr:nvSpPr>
          <xdr:cNvPr id="33" name="Round Same Side Corner Rectangle 32">
            <a:hlinkClick xmlns:r="http://schemas.openxmlformats.org/officeDocument/2006/relationships" r:id="rId16"/>
          </xdr:cNvPr>
          <xdr:cNvSpPr/>
        </xdr:nvSpPr>
        <xdr:spPr bwMode="auto">
          <a:xfrm flipV="1">
            <a:off x="8740616" y="860640"/>
            <a:ext cx="1012974"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BOLT </a:t>
            </a:r>
            <a:r>
              <a:rPr lang="en-US" sz="1100" b="1" baseline="0">
                <a:solidFill>
                  <a:schemeClr val="bg1"/>
                </a:solidFill>
              </a:rPr>
              <a:t>TABLE</a:t>
            </a:r>
            <a:endParaRPr lang="en-US" sz="1100" b="1">
              <a:solidFill>
                <a:schemeClr val="bg1"/>
              </a:solidFill>
            </a:endParaRPr>
          </a:p>
        </xdr:txBody>
      </xdr:sp>
      <xdr:sp macro="" textlink="">
        <xdr:nvSpPr>
          <xdr:cNvPr id="34" name="Rectangle 33"/>
          <xdr:cNvSpPr/>
        </xdr:nvSpPr>
        <xdr:spPr bwMode="auto">
          <a:xfrm>
            <a:off x="0" y="708216"/>
            <a:ext cx="10874188" cy="170330"/>
          </a:xfrm>
          <a:prstGeom prst="rect">
            <a:avLst/>
          </a:prstGeom>
          <a:solidFill>
            <a:srgbClr val="132863"/>
          </a:solidFill>
          <a:ln w="12700"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380996</xdr:colOff>
      <xdr:row>6</xdr:row>
      <xdr:rowOff>97972</xdr:rowOff>
    </xdr:from>
    <xdr:to>
      <xdr:col>12</xdr:col>
      <xdr:colOff>209002</xdr:colOff>
      <xdr:row>8</xdr:row>
      <xdr:rowOff>67702</xdr:rowOff>
    </xdr:to>
    <xdr:sp macro="" textlink="">
      <xdr:nvSpPr>
        <xdr:cNvPr id="51" name="Rounded Rectangle 50">
          <a:hlinkClick xmlns:r="http://schemas.openxmlformats.org/officeDocument/2006/relationships" r:id="rId1"/>
        </xdr:cNvPr>
        <xdr:cNvSpPr>
          <a:spLocks noChangeAspect="1"/>
        </xdr:cNvSpPr>
      </xdr:nvSpPr>
      <xdr:spPr bwMode="auto">
        <a:xfrm>
          <a:off x="8153396" y="2971801"/>
          <a:ext cx="2560320" cy="416044"/>
        </a:xfrm>
        <a:prstGeom prst="roundRect">
          <a:avLst/>
        </a:prstGeom>
        <a:solidFill>
          <a:srgbClr val="3546E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anchorCtr="0" upright="1"/>
        <a:lstStyle/>
        <a:p>
          <a:pPr algn="ctr"/>
          <a:r>
            <a:rPr lang="en-US" sz="1800" b="1">
              <a:solidFill>
                <a:schemeClr val="bg1"/>
              </a:solidFill>
            </a:rPr>
            <a:t>Garlock.com</a:t>
          </a:r>
        </a:p>
      </xdr:txBody>
    </xdr:sp>
    <xdr:clientData/>
  </xdr:twoCellAnchor>
  <xdr:twoCellAnchor>
    <xdr:from>
      <xdr:col>9</xdr:col>
      <xdr:colOff>380996</xdr:colOff>
      <xdr:row>9</xdr:row>
      <xdr:rowOff>21772</xdr:rowOff>
    </xdr:from>
    <xdr:to>
      <xdr:col>12</xdr:col>
      <xdr:colOff>209002</xdr:colOff>
      <xdr:row>12</xdr:row>
      <xdr:rowOff>78588</xdr:rowOff>
    </xdr:to>
    <xdr:sp macro="" textlink="">
      <xdr:nvSpPr>
        <xdr:cNvPr id="52" name="Rounded Rectangle 51">
          <a:hlinkClick xmlns:r="http://schemas.openxmlformats.org/officeDocument/2006/relationships" r:id="rId2"/>
        </xdr:cNvPr>
        <xdr:cNvSpPr>
          <a:spLocks noChangeAspect="1"/>
        </xdr:cNvSpPr>
      </xdr:nvSpPr>
      <xdr:spPr bwMode="auto">
        <a:xfrm>
          <a:off x="8153396" y="3614058"/>
          <a:ext cx="2560320" cy="416044"/>
        </a:xfrm>
        <a:prstGeom prst="roundRect">
          <a:avLst/>
        </a:prstGeom>
        <a:solidFill>
          <a:srgbClr val="3546E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anchorCtr="0" upright="1"/>
        <a:lstStyle/>
        <a:p>
          <a:pPr algn="ctr"/>
          <a:r>
            <a:rPr lang="en-US" sz="1800" b="1">
              <a:solidFill>
                <a:schemeClr val="bg1"/>
              </a:solidFill>
            </a:rPr>
            <a:t>Engineering</a:t>
          </a:r>
          <a:r>
            <a:rPr lang="en-US" sz="1800" b="1" baseline="0">
              <a:solidFill>
                <a:schemeClr val="bg1"/>
              </a:solidFill>
            </a:rPr>
            <a:t> Tools</a:t>
          </a:r>
          <a:endParaRPr lang="en-US" sz="1800" b="1">
            <a:solidFill>
              <a:schemeClr val="bg1"/>
            </a:solidFill>
          </a:endParaRPr>
        </a:p>
      </xdr:txBody>
    </xdr:sp>
    <xdr:clientData/>
  </xdr:twoCellAnchor>
  <xdr:twoCellAnchor>
    <xdr:from>
      <xdr:col>9</xdr:col>
      <xdr:colOff>380997</xdr:colOff>
      <xdr:row>14</xdr:row>
      <xdr:rowOff>65315</xdr:rowOff>
    </xdr:from>
    <xdr:to>
      <xdr:col>12</xdr:col>
      <xdr:colOff>209003</xdr:colOff>
      <xdr:row>16</xdr:row>
      <xdr:rowOff>209212</xdr:rowOff>
    </xdr:to>
    <xdr:sp macro="" textlink="">
      <xdr:nvSpPr>
        <xdr:cNvPr id="53" name="Rounded Rectangle 52">
          <a:hlinkClick xmlns:r="http://schemas.openxmlformats.org/officeDocument/2006/relationships" r:id="rId3"/>
        </xdr:cNvPr>
        <xdr:cNvSpPr>
          <a:spLocks noChangeAspect="1"/>
        </xdr:cNvSpPr>
      </xdr:nvSpPr>
      <xdr:spPr bwMode="auto">
        <a:xfrm>
          <a:off x="8153397" y="4288972"/>
          <a:ext cx="2560320" cy="416040"/>
        </a:xfrm>
        <a:prstGeom prst="roundRect">
          <a:avLst/>
        </a:prstGeom>
        <a:solidFill>
          <a:srgbClr val="3546E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anchorCtr="0" upright="1"/>
        <a:lstStyle/>
        <a:p>
          <a:pPr algn="ctr"/>
          <a:r>
            <a:rPr lang="en-US" sz="1800" b="1">
              <a:solidFill>
                <a:schemeClr val="bg1"/>
              </a:solidFill>
              <a:effectLst/>
              <a:latin typeface="+mn-lt"/>
              <a:ea typeface="+mn-ea"/>
              <a:cs typeface="+mn-cs"/>
            </a:rPr>
            <a:t>Installation Instructions</a:t>
          </a:r>
          <a:endParaRPr lang="en-US" sz="1800">
            <a:solidFill>
              <a:schemeClr val="bg1"/>
            </a:solidFill>
            <a:effectLst/>
          </a:endParaRPr>
        </a:p>
      </xdr:txBody>
    </xdr:sp>
    <xdr:clientData/>
  </xdr:twoCellAnchor>
  <xdr:twoCellAnchor>
    <xdr:from>
      <xdr:col>9</xdr:col>
      <xdr:colOff>370111</xdr:colOff>
      <xdr:row>18</xdr:row>
      <xdr:rowOff>174172</xdr:rowOff>
    </xdr:from>
    <xdr:to>
      <xdr:col>12</xdr:col>
      <xdr:colOff>198117</xdr:colOff>
      <xdr:row>22</xdr:row>
      <xdr:rowOff>45926</xdr:rowOff>
    </xdr:to>
    <xdr:sp macro="" textlink="">
      <xdr:nvSpPr>
        <xdr:cNvPr id="54" name="Rounded Rectangle 53">
          <a:hlinkClick xmlns:r="http://schemas.openxmlformats.org/officeDocument/2006/relationships" r:id="rId4"/>
        </xdr:cNvPr>
        <xdr:cNvSpPr>
          <a:spLocks noChangeAspect="1"/>
        </xdr:cNvSpPr>
      </xdr:nvSpPr>
      <xdr:spPr bwMode="auto">
        <a:xfrm>
          <a:off x="8142511" y="4942115"/>
          <a:ext cx="2560320" cy="416040"/>
        </a:xfrm>
        <a:prstGeom prst="roundRect">
          <a:avLst/>
        </a:prstGeom>
        <a:solidFill>
          <a:srgbClr val="3546E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anchorCtr="0" upright="1"/>
        <a:lstStyle/>
        <a:p>
          <a:pPr algn="ctr"/>
          <a:r>
            <a:rPr lang="en-US" sz="1800" b="1">
              <a:solidFill>
                <a:schemeClr val="bg1"/>
              </a:solidFill>
            </a:rPr>
            <a:t>Product Selector</a:t>
          </a:r>
        </a:p>
      </xdr:txBody>
    </xdr:sp>
    <xdr:clientData/>
  </xdr:twoCellAnchor>
  <xdr:twoCellAnchor editAs="oneCell">
    <xdr:from>
      <xdr:col>0</xdr:col>
      <xdr:colOff>141515</xdr:colOff>
      <xdr:row>7</xdr:row>
      <xdr:rowOff>141514</xdr:rowOff>
    </xdr:from>
    <xdr:to>
      <xdr:col>2</xdr:col>
      <xdr:colOff>96014</xdr:colOff>
      <xdr:row>22</xdr:row>
      <xdr:rowOff>54428</xdr:rowOff>
    </xdr:to>
    <xdr:pic>
      <xdr:nvPicPr>
        <xdr:cNvPr id="2" name="Picture 1"/>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41515" y="3243943"/>
          <a:ext cx="2229613" cy="2122714"/>
        </a:xfrm>
        <a:prstGeom prst="rect">
          <a:avLst/>
        </a:prstGeom>
      </xdr:spPr>
    </xdr:pic>
    <xdr:clientData/>
  </xdr:twoCellAnchor>
  <xdr:twoCellAnchor>
    <xdr:from>
      <xdr:col>0</xdr:col>
      <xdr:colOff>0</xdr:colOff>
      <xdr:row>0</xdr:row>
      <xdr:rowOff>98615</xdr:rowOff>
    </xdr:from>
    <xdr:to>
      <xdr:col>13</xdr:col>
      <xdr:colOff>0</xdr:colOff>
      <xdr:row>0</xdr:row>
      <xdr:rowOff>1296923</xdr:rowOff>
    </xdr:to>
    <xdr:grpSp>
      <xdr:nvGrpSpPr>
        <xdr:cNvPr id="4" name="Group 3"/>
        <xdr:cNvGrpSpPr/>
      </xdr:nvGrpSpPr>
      <xdr:grpSpPr>
        <a:xfrm>
          <a:off x="0" y="98615"/>
          <a:ext cx="10874188" cy="1198308"/>
          <a:chOff x="0" y="98615"/>
          <a:chExt cx="10874188" cy="1198308"/>
        </a:xfrm>
      </xdr:grpSpPr>
      <xdr:sp macro="" textlink="">
        <xdr:nvSpPr>
          <xdr:cNvPr id="22" name="Round Same Side Corner Rectangle 21">
            <a:hlinkClick xmlns:r="http://schemas.openxmlformats.org/officeDocument/2006/relationships" r:id="rId6"/>
          </xdr:cNvPr>
          <xdr:cNvSpPr/>
        </xdr:nvSpPr>
        <xdr:spPr bwMode="auto">
          <a:xfrm flipV="1">
            <a:off x="9834319" y="860614"/>
            <a:ext cx="1012974"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TECHNICAL</a:t>
            </a:r>
            <a:r>
              <a:rPr lang="en-US" sz="1100" b="1" baseline="0">
                <a:solidFill>
                  <a:schemeClr val="bg1"/>
                </a:solidFill>
              </a:rPr>
              <a:t> SUPPORT</a:t>
            </a:r>
            <a:endParaRPr lang="en-US" sz="1100" b="1">
              <a:solidFill>
                <a:schemeClr val="bg1"/>
              </a:solidFill>
            </a:endParaRPr>
          </a:p>
        </xdr:txBody>
      </xdr:sp>
      <xdr:sp macro="" textlink="">
        <xdr:nvSpPr>
          <xdr:cNvPr id="23" name="Round Same Side Corner Rectangle 22">
            <a:hlinkClick xmlns:r="http://schemas.openxmlformats.org/officeDocument/2006/relationships" r:id="rId7"/>
          </xdr:cNvPr>
          <xdr:cNvSpPr/>
        </xdr:nvSpPr>
        <xdr:spPr bwMode="auto">
          <a:xfrm flipV="1">
            <a:off x="1" y="860640"/>
            <a:ext cx="1008471"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HOME</a:t>
            </a:r>
          </a:p>
        </xdr:txBody>
      </xdr:sp>
      <xdr:sp macro="" textlink="">
        <xdr:nvSpPr>
          <xdr:cNvPr id="24" name="WordArt 53"/>
          <xdr:cNvSpPr>
            <a:spLocks noChangeArrowheads="1" noChangeShapeType="1" noTextEdit="1"/>
          </xdr:cNvSpPr>
        </xdr:nvSpPr>
        <xdr:spPr bwMode="auto">
          <a:xfrm>
            <a:off x="6947646" y="197225"/>
            <a:ext cx="3729319" cy="286871"/>
          </a:xfrm>
          <a:prstGeom prst="rect">
            <a:avLst/>
          </a:prstGeom>
        </xdr:spPr>
        <xdr:txBody>
          <a:bodyPr wrap="none" fromWordArt="1">
            <a:prstTxWarp prst="textPlain">
              <a:avLst>
                <a:gd name="adj" fmla="val 50000"/>
              </a:avLst>
            </a:prstTxWarp>
          </a:bodyPr>
          <a:lstStyle/>
          <a:p>
            <a:pPr algn="ctr" rtl="0"/>
            <a:r>
              <a:rPr lang="en-US" sz="4800" b="0" i="1" kern="10" spc="0">
                <a:ln w="9525">
                  <a:solidFill>
                    <a:schemeClr val="tx1"/>
                  </a:solidFill>
                  <a:round/>
                  <a:headEnd/>
                  <a:tailEnd/>
                </a:ln>
                <a:gradFill flip="none" rotWithShape="1">
                  <a:gsLst>
                    <a:gs pos="0">
                      <a:srgbClr val="FFFFFF"/>
                    </a:gs>
                    <a:gs pos="7001">
                      <a:srgbClr val="E6E6E6"/>
                    </a:gs>
                    <a:gs pos="32001">
                      <a:schemeClr val="bg1">
                        <a:lumMod val="75000"/>
                      </a:schemeClr>
                    </a:gs>
                    <a:gs pos="47000">
                      <a:srgbClr val="E6E6E6"/>
                    </a:gs>
                    <a:gs pos="85001">
                      <a:schemeClr val="bg1">
                        <a:lumMod val="75000"/>
                      </a:schemeClr>
                    </a:gs>
                    <a:gs pos="100000">
                      <a:srgbClr val="E6E6E6"/>
                    </a:gs>
                  </a:gsLst>
                  <a:lin ang="2700000" scaled="1"/>
                  <a:tileRect/>
                </a:gradFill>
                <a:effectLst>
                  <a:outerShdw dist="35921" dir="2700000" algn="ctr" rotWithShape="0">
                    <a:srgbClr val="000000"/>
                  </a:outerShdw>
                </a:effectLst>
                <a:latin typeface="Impact" panose="020B0806030902050204" pitchFamily="34" charset="0"/>
              </a:rPr>
              <a:t>Gasket Calculator 6.0</a:t>
            </a:r>
          </a:p>
        </xdr:txBody>
      </xdr:sp>
      <xdr:sp macro="" textlink="">
        <xdr:nvSpPr>
          <xdr:cNvPr id="25" name="Round Same Side Corner Rectangle 24">
            <a:hlinkClick xmlns:r="http://schemas.openxmlformats.org/officeDocument/2006/relationships" r:id="rId8"/>
          </xdr:cNvPr>
          <xdr:cNvSpPr/>
        </xdr:nvSpPr>
        <xdr:spPr bwMode="auto">
          <a:xfrm flipV="1">
            <a:off x="1093731" y="860640"/>
            <a:ext cx="1008471"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QUICK</a:t>
            </a:r>
            <a:r>
              <a:rPr lang="en-US" sz="1100" b="1" baseline="0">
                <a:solidFill>
                  <a:schemeClr val="bg1"/>
                </a:solidFill>
              </a:rPr>
              <a:t> </a:t>
            </a:r>
            <a:r>
              <a:rPr lang="en-US" sz="1100" b="1">
                <a:solidFill>
                  <a:schemeClr val="bg1"/>
                </a:solidFill>
              </a:rPr>
              <a:t>TORQUE</a:t>
            </a:r>
          </a:p>
        </xdr:txBody>
      </xdr:sp>
      <xdr:sp macro="" textlink="">
        <xdr:nvSpPr>
          <xdr:cNvPr id="26" name="Round Same Side Corner Rectangle 25">
            <a:hlinkClick xmlns:r="http://schemas.openxmlformats.org/officeDocument/2006/relationships" r:id="rId9"/>
          </xdr:cNvPr>
          <xdr:cNvSpPr/>
        </xdr:nvSpPr>
        <xdr:spPr bwMode="auto">
          <a:xfrm flipV="1">
            <a:off x="2187806" y="860640"/>
            <a:ext cx="1010967"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G.S.T.</a:t>
            </a:r>
          </a:p>
        </xdr:txBody>
      </xdr:sp>
      <xdr:sp macro="" textlink="">
        <xdr:nvSpPr>
          <xdr:cNvPr id="27" name="Round Same Side Corner Rectangle 26">
            <a:hlinkClick xmlns:r="http://schemas.openxmlformats.org/officeDocument/2006/relationships" r:id="rId10"/>
          </xdr:cNvPr>
          <xdr:cNvSpPr/>
        </xdr:nvSpPr>
        <xdr:spPr bwMode="auto">
          <a:xfrm flipV="1">
            <a:off x="3283588" y="860640"/>
            <a:ext cx="1008054"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RING</a:t>
            </a:r>
            <a:r>
              <a:rPr lang="en-US" sz="1100" b="1" baseline="0">
                <a:solidFill>
                  <a:schemeClr val="bg1"/>
                </a:solidFill>
              </a:rPr>
              <a:t> GASKET</a:t>
            </a:r>
            <a:endParaRPr lang="en-US" sz="1100" b="1">
              <a:solidFill>
                <a:schemeClr val="bg1"/>
              </a:solidFill>
            </a:endParaRPr>
          </a:p>
        </xdr:txBody>
      </xdr:sp>
      <xdr:sp macro="" textlink="">
        <xdr:nvSpPr>
          <xdr:cNvPr id="28" name="Round Same Side Corner Rectangle 27">
            <a:hlinkClick xmlns:r="http://schemas.openxmlformats.org/officeDocument/2006/relationships" r:id="rId11"/>
          </xdr:cNvPr>
          <xdr:cNvSpPr/>
        </xdr:nvSpPr>
        <xdr:spPr bwMode="auto">
          <a:xfrm flipV="1">
            <a:off x="4376342" y="860640"/>
            <a:ext cx="1008470"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FULL FACE GASKET</a:t>
            </a:r>
          </a:p>
        </xdr:txBody>
      </xdr:sp>
      <xdr:sp macro="" textlink="">
        <xdr:nvSpPr>
          <xdr:cNvPr id="29" name="Round Same Side Corner Rectangle 28">
            <a:hlinkClick xmlns:r="http://schemas.openxmlformats.org/officeDocument/2006/relationships" r:id="rId12"/>
          </xdr:cNvPr>
          <xdr:cNvSpPr/>
        </xdr:nvSpPr>
        <xdr:spPr bwMode="auto">
          <a:xfrm flipV="1">
            <a:off x="5475727" y="860640"/>
            <a:ext cx="1005559"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RECTANGULAR GASKET</a:t>
            </a:r>
          </a:p>
        </xdr:txBody>
      </xdr:sp>
      <xdr:sp macro="" textlink="">
        <xdr:nvSpPr>
          <xdr:cNvPr id="30" name="Round Same Side Corner Rectangle 29">
            <a:hlinkClick xmlns:r="http://schemas.openxmlformats.org/officeDocument/2006/relationships" r:id="rId13"/>
          </xdr:cNvPr>
          <xdr:cNvSpPr/>
        </xdr:nvSpPr>
        <xdr:spPr bwMode="auto">
          <a:xfrm flipV="1">
            <a:off x="6563444" y="860640"/>
            <a:ext cx="1008887"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ELLIPTICAL GASKET</a:t>
            </a:r>
          </a:p>
        </xdr:txBody>
      </xdr:sp>
      <xdr:sp macro="" textlink="">
        <xdr:nvSpPr>
          <xdr:cNvPr id="31" name="Round Same Side Corner Rectangle 30">
            <a:hlinkClick xmlns:r="http://schemas.openxmlformats.org/officeDocument/2006/relationships" r:id="rId14"/>
          </xdr:cNvPr>
          <xdr:cNvSpPr/>
        </xdr:nvSpPr>
        <xdr:spPr bwMode="auto">
          <a:xfrm flipV="1">
            <a:off x="7652517" y="860640"/>
            <a:ext cx="1012974"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OBROUND GASKET</a:t>
            </a:r>
          </a:p>
        </xdr:txBody>
      </xdr:sp>
      <xdr:pic>
        <xdr:nvPicPr>
          <xdr:cNvPr id="32" name="Picture 31">
            <a:hlinkClick xmlns:r="http://schemas.openxmlformats.org/officeDocument/2006/relationships" r:id="rId1"/>
          </xdr:cNvPr>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62752" y="98615"/>
            <a:ext cx="2096658" cy="575198"/>
          </a:xfrm>
          <a:prstGeom prst="rect">
            <a:avLst/>
          </a:prstGeom>
        </xdr:spPr>
      </xdr:pic>
      <xdr:sp macro="" textlink="">
        <xdr:nvSpPr>
          <xdr:cNvPr id="33" name="Round Same Side Corner Rectangle 32">
            <a:hlinkClick xmlns:r="http://schemas.openxmlformats.org/officeDocument/2006/relationships" r:id="rId16"/>
          </xdr:cNvPr>
          <xdr:cNvSpPr/>
        </xdr:nvSpPr>
        <xdr:spPr bwMode="auto">
          <a:xfrm flipV="1">
            <a:off x="8740616" y="860640"/>
            <a:ext cx="1012974"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BOLT </a:t>
            </a:r>
            <a:r>
              <a:rPr lang="en-US" sz="1100" b="1" baseline="0">
                <a:solidFill>
                  <a:schemeClr val="bg1"/>
                </a:solidFill>
              </a:rPr>
              <a:t>TABLE</a:t>
            </a:r>
            <a:endParaRPr lang="en-US" sz="1100" b="1">
              <a:solidFill>
                <a:schemeClr val="bg1"/>
              </a:solidFill>
            </a:endParaRPr>
          </a:p>
        </xdr:txBody>
      </xdr:sp>
      <xdr:sp macro="" textlink="">
        <xdr:nvSpPr>
          <xdr:cNvPr id="34" name="Rectangle 33"/>
          <xdr:cNvSpPr/>
        </xdr:nvSpPr>
        <xdr:spPr bwMode="auto">
          <a:xfrm>
            <a:off x="0" y="708216"/>
            <a:ext cx="10874188" cy="170330"/>
          </a:xfrm>
          <a:prstGeom prst="rect">
            <a:avLst/>
          </a:prstGeom>
          <a:solidFill>
            <a:srgbClr val="132863"/>
          </a:solidFill>
          <a:ln w="12700"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161366</xdr:colOff>
      <xdr:row>5</xdr:row>
      <xdr:rowOff>97972</xdr:rowOff>
    </xdr:from>
    <xdr:to>
      <xdr:col>13</xdr:col>
      <xdr:colOff>152402</xdr:colOff>
      <xdr:row>7</xdr:row>
      <xdr:rowOff>72717</xdr:rowOff>
    </xdr:to>
    <xdr:sp macro="" textlink="">
      <xdr:nvSpPr>
        <xdr:cNvPr id="22" name="Rounded Rectangle 21">
          <a:hlinkClick xmlns:r="http://schemas.openxmlformats.org/officeDocument/2006/relationships" r:id="rId1"/>
        </xdr:cNvPr>
        <xdr:cNvSpPr>
          <a:spLocks/>
        </xdr:cNvSpPr>
      </xdr:nvSpPr>
      <xdr:spPr bwMode="auto">
        <a:xfrm>
          <a:off x="8130990" y="2697737"/>
          <a:ext cx="2590800" cy="485733"/>
        </a:xfrm>
        <a:prstGeom prst="roundRect">
          <a:avLst/>
        </a:prstGeom>
        <a:solidFill>
          <a:srgbClr val="3546E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anchorCtr="0" upright="1"/>
        <a:lstStyle/>
        <a:p>
          <a:pPr algn="ctr"/>
          <a:r>
            <a:rPr lang="en-US" sz="1800" b="1">
              <a:solidFill>
                <a:schemeClr val="bg1"/>
              </a:solidFill>
            </a:rPr>
            <a:t>Garlock.com</a:t>
          </a:r>
        </a:p>
      </xdr:txBody>
    </xdr:sp>
    <xdr:clientData/>
  </xdr:twoCellAnchor>
  <xdr:twoCellAnchor>
    <xdr:from>
      <xdr:col>10</xdr:col>
      <xdr:colOff>161365</xdr:colOff>
      <xdr:row>8</xdr:row>
      <xdr:rowOff>10886</xdr:rowOff>
    </xdr:from>
    <xdr:to>
      <xdr:col>13</xdr:col>
      <xdr:colOff>152401</xdr:colOff>
      <xdr:row>10</xdr:row>
      <xdr:rowOff>127146</xdr:rowOff>
    </xdr:to>
    <xdr:sp macro="" textlink="">
      <xdr:nvSpPr>
        <xdr:cNvPr id="23" name="Rounded Rectangle 22">
          <a:hlinkClick xmlns:r="http://schemas.openxmlformats.org/officeDocument/2006/relationships" r:id="rId2"/>
        </xdr:cNvPr>
        <xdr:cNvSpPr>
          <a:spLocks/>
        </xdr:cNvSpPr>
      </xdr:nvSpPr>
      <xdr:spPr bwMode="auto">
        <a:xfrm>
          <a:off x="8130989" y="3336792"/>
          <a:ext cx="2590800" cy="465883"/>
        </a:xfrm>
        <a:prstGeom prst="roundRect">
          <a:avLst/>
        </a:prstGeom>
        <a:solidFill>
          <a:srgbClr val="3546E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anchorCtr="0" upright="1"/>
        <a:lstStyle/>
        <a:p>
          <a:pPr algn="ctr"/>
          <a:r>
            <a:rPr lang="en-US" sz="1800" b="1">
              <a:solidFill>
                <a:schemeClr val="bg1"/>
              </a:solidFill>
            </a:rPr>
            <a:t>Engineering</a:t>
          </a:r>
          <a:r>
            <a:rPr lang="en-US" sz="1800" b="1" baseline="0">
              <a:solidFill>
                <a:schemeClr val="bg1"/>
              </a:solidFill>
            </a:rPr>
            <a:t> Tools</a:t>
          </a:r>
          <a:endParaRPr lang="en-US" sz="1800" b="1">
            <a:solidFill>
              <a:schemeClr val="bg1"/>
            </a:solidFill>
          </a:endParaRPr>
        </a:p>
      </xdr:txBody>
    </xdr:sp>
    <xdr:clientData/>
  </xdr:twoCellAnchor>
  <xdr:twoCellAnchor>
    <xdr:from>
      <xdr:col>10</xdr:col>
      <xdr:colOff>161365</xdr:colOff>
      <xdr:row>12</xdr:row>
      <xdr:rowOff>20676</xdr:rowOff>
    </xdr:from>
    <xdr:to>
      <xdr:col>13</xdr:col>
      <xdr:colOff>152401</xdr:colOff>
      <xdr:row>14</xdr:row>
      <xdr:rowOff>224021</xdr:rowOff>
    </xdr:to>
    <xdr:sp macro="" textlink="">
      <xdr:nvSpPr>
        <xdr:cNvPr id="24" name="Rounded Rectangle 23">
          <a:hlinkClick xmlns:r="http://schemas.openxmlformats.org/officeDocument/2006/relationships" r:id="rId3"/>
        </xdr:cNvPr>
        <xdr:cNvSpPr>
          <a:spLocks/>
        </xdr:cNvSpPr>
      </xdr:nvSpPr>
      <xdr:spPr bwMode="auto">
        <a:xfrm>
          <a:off x="8130989" y="3974111"/>
          <a:ext cx="2590800" cy="481251"/>
        </a:xfrm>
        <a:prstGeom prst="roundRect">
          <a:avLst/>
        </a:prstGeom>
        <a:solidFill>
          <a:srgbClr val="3546E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anchorCtr="0" upright="1"/>
        <a:lstStyle/>
        <a:p>
          <a:pPr algn="ctr"/>
          <a:r>
            <a:rPr lang="en-US" sz="1800" b="1">
              <a:solidFill>
                <a:schemeClr val="bg1"/>
              </a:solidFill>
              <a:effectLst/>
              <a:latin typeface="+mn-lt"/>
              <a:ea typeface="+mn-ea"/>
              <a:cs typeface="+mn-cs"/>
            </a:rPr>
            <a:t>Installation Instructions</a:t>
          </a:r>
          <a:endParaRPr lang="en-US" sz="1800">
            <a:solidFill>
              <a:schemeClr val="bg1"/>
            </a:solidFill>
            <a:effectLst/>
          </a:endParaRPr>
        </a:p>
      </xdr:txBody>
    </xdr:sp>
    <xdr:clientData/>
  </xdr:twoCellAnchor>
  <xdr:twoCellAnchor>
    <xdr:from>
      <xdr:col>10</xdr:col>
      <xdr:colOff>172746</xdr:colOff>
      <xdr:row>16</xdr:row>
      <xdr:rowOff>142598</xdr:rowOff>
    </xdr:from>
    <xdr:to>
      <xdr:col>13</xdr:col>
      <xdr:colOff>154808</xdr:colOff>
      <xdr:row>18</xdr:row>
      <xdr:rowOff>160886</xdr:rowOff>
    </xdr:to>
    <xdr:sp macro="" textlink="">
      <xdr:nvSpPr>
        <xdr:cNvPr id="25" name="Rounded Rectangle 24">
          <a:hlinkClick xmlns:r="http://schemas.openxmlformats.org/officeDocument/2006/relationships" r:id="rId4"/>
        </xdr:cNvPr>
        <xdr:cNvSpPr>
          <a:spLocks/>
        </xdr:cNvSpPr>
      </xdr:nvSpPr>
      <xdr:spPr bwMode="auto">
        <a:xfrm>
          <a:off x="8142370" y="4651845"/>
          <a:ext cx="2581826" cy="484453"/>
        </a:xfrm>
        <a:prstGeom prst="roundRect">
          <a:avLst/>
        </a:prstGeom>
        <a:solidFill>
          <a:srgbClr val="3546E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anchorCtr="0" upright="1"/>
        <a:lstStyle/>
        <a:p>
          <a:pPr algn="ctr"/>
          <a:r>
            <a:rPr lang="en-US" sz="1800" b="1">
              <a:solidFill>
                <a:schemeClr val="bg1"/>
              </a:solidFill>
            </a:rPr>
            <a:t>Product Selector</a:t>
          </a:r>
        </a:p>
      </xdr:txBody>
    </xdr:sp>
    <xdr:clientData/>
  </xdr:twoCellAnchor>
  <xdr:twoCellAnchor editAs="oneCell">
    <xdr:from>
      <xdr:col>0</xdr:col>
      <xdr:colOff>152400</xdr:colOff>
      <xdr:row>7</xdr:row>
      <xdr:rowOff>108856</xdr:rowOff>
    </xdr:from>
    <xdr:to>
      <xdr:col>1</xdr:col>
      <xdr:colOff>1577885</xdr:colOff>
      <xdr:row>26</xdr:row>
      <xdr:rowOff>10887</xdr:rowOff>
    </xdr:to>
    <xdr:pic>
      <xdr:nvPicPr>
        <xdr:cNvPr id="2" name="Picture 1"/>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52400" y="3211285"/>
          <a:ext cx="2045971" cy="3200401"/>
        </a:xfrm>
        <a:prstGeom prst="rect">
          <a:avLst/>
        </a:prstGeom>
      </xdr:spPr>
    </xdr:pic>
    <xdr:clientData/>
  </xdr:twoCellAnchor>
  <xdr:twoCellAnchor>
    <xdr:from>
      <xdr:col>0</xdr:col>
      <xdr:colOff>0</xdr:colOff>
      <xdr:row>0</xdr:row>
      <xdr:rowOff>98615</xdr:rowOff>
    </xdr:from>
    <xdr:to>
      <xdr:col>13</xdr:col>
      <xdr:colOff>304800</xdr:colOff>
      <xdr:row>0</xdr:row>
      <xdr:rowOff>1296923</xdr:rowOff>
    </xdr:to>
    <xdr:grpSp>
      <xdr:nvGrpSpPr>
        <xdr:cNvPr id="4" name="Group 3"/>
        <xdr:cNvGrpSpPr/>
      </xdr:nvGrpSpPr>
      <xdr:grpSpPr>
        <a:xfrm>
          <a:off x="0" y="98615"/>
          <a:ext cx="10874188" cy="1198308"/>
          <a:chOff x="0" y="98615"/>
          <a:chExt cx="10874188" cy="1198308"/>
        </a:xfrm>
      </xdr:grpSpPr>
      <xdr:sp macro="" textlink="">
        <xdr:nvSpPr>
          <xdr:cNvPr id="26" name="Round Same Side Corner Rectangle 25">
            <a:hlinkClick xmlns:r="http://schemas.openxmlformats.org/officeDocument/2006/relationships" r:id="rId6"/>
          </xdr:cNvPr>
          <xdr:cNvSpPr/>
        </xdr:nvSpPr>
        <xdr:spPr bwMode="auto">
          <a:xfrm flipV="1">
            <a:off x="9834319" y="860614"/>
            <a:ext cx="1012974"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TECHNICAL</a:t>
            </a:r>
            <a:r>
              <a:rPr lang="en-US" sz="1100" b="1" baseline="0">
                <a:solidFill>
                  <a:schemeClr val="bg1"/>
                </a:solidFill>
              </a:rPr>
              <a:t> SUPPORT</a:t>
            </a:r>
            <a:endParaRPr lang="en-US" sz="1100" b="1">
              <a:solidFill>
                <a:schemeClr val="bg1"/>
              </a:solidFill>
            </a:endParaRPr>
          </a:p>
        </xdr:txBody>
      </xdr:sp>
      <xdr:sp macro="" textlink="">
        <xdr:nvSpPr>
          <xdr:cNvPr id="27" name="Round Same Side Corner Rectangle 26">
            <a:hlinkClick xmlns:r="http://schemas.openxmlformats.org/officeDocument/2006/relationships" r:id="rId7"/>
          </xdr:cNvPr>
          <xdr:cNvSpPr/>
        </xdr:nvSpPr>
        <xdr:spPr bwMode="auto">
          <a:xfrm flipV="1">
            <a:off x="1" y="860640"/>
            <a:ext cx="1008471"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HOME</a:t>
            </a:r>
          </a:p>
        </xdr:txBody>
      </xdr:sp>
      <xdr:sp macro="" textlink="">
        <xdr:nvSpPr>
          <xdr:cNvPr id="28" name="WordArt 53"/>
          <xdr:cNvSpPr>
            <a:spLocks noChangeArrowheads="1" noChangeShapeType="1" noTextEdit="1"/>
          </xdr:cNvSpPr>
        </xdr:nvSpPr>
        <xdr:spPr bwMode="auto">
          <a:xfrm>
            <a:off x="6947646" y="197225"/>
            <a:ext cx="3729319" cy="286871"/>
          </a:xfrm>
          <a:prstGeom prst="rect">
            <a:avLst/>
          </a:prstGeom>
        </xdr:spPr>
        <xdr:txBody>
          <a:bodyPr wrap="none" fromWordArt="1">
            <a:prstTxWarp prst="textPlain">
              <a:avLst>
                <a:gd name="adj" fmla="val 50000"/>
              </a:avLst>
            </a:prstTxWarp>
          </a:bodyPr>
          <a:lstStyle/>
          <a:p>
            <a:pPr algn="ctr" rtl="0"/>
            <a:r>
              <a:rPr lang="en-US" sz="4800" b="0" i="1" kern="10" spc="0">
                <a:ln w="9525">
                  <a:solidFill>
                    <a:schemeClr val="tx1"/>
                  </a:solidFill>
                  <a:round/>
                  <a:headEnd/>
                  <a:tailEnd/>
                </a:ln>
                <a:gradFill flip="none" rotWithShape="1">
                  <a:gsLst>
                    <a:gs pos="0">
                      <a:srgbClr val="FFFFFF"/>
                    </a:gs>
                    <a:gs pos="7001">
                      <a:srgbClr val="E6E6E6"/>
                    </a:gs>
                    <a:gs pos="32001">
                      <a:schemeClr val="bg1">
                        <a:lumMod val="75000"/>
                      </a:schemeClr>
                    </a:gs>
                    <a:gs pos="47000">
                      <a:srgbClr val="E6E6E6"/>
                    </a:gs>
                    <a:gs pos="85001">
                      <a:schemeClr val="bg1">
                        <a:lumMod val="75000"/>
                      </a:schemeClr>
                    </a:gs>
                    <a:gs pos="100000">
                      <a:srgbClr val="E6E6E6"/>
                    </a:gs>
                  </a:gsLst>
                  <a:lin ang="2700000" scaled="1"/>
                  <a:tileRect/>
                </a:gradFill>
                <a:effectLst>
                  <a:outerShdw dist="35921" dir="2700000" algn="ctr" rotWithShape="0">
                    <a:srgbClr val="000000"/>
                  </a:outerShdw>
                </a:effectLst>
                <a:latin typeface="Impact" panose="020B0806030902050204" pitchFamily="34" charset="0"/>
              </a:rPr>
              <a:t>Gasket Calculator 6.0</a:t>
            </a:r>
          </a:p>
        </xdr:txBody>
      </xdr:sp>
      <xdr:sp macro="" textlink="">
        <xdr:nvSpPr>
          <xdr:cNvPr id="29" name="Round Same Side Corner Rectangle 28">
            <a:hlinkClick xmlns:r="http://schemas.openxmlformats.org/officeDocument/2006/relationships" r:id="rId8"/>
          </xdr:cNvPr>
          <xdr:cNvSpPr/>
        </xdr:nvSpPr>
        <xdr:spPr bwMode="auto">
          <a:xfrm flipV="1">
            <a:off x="1093731" y="860640"/>
            <a:ext cx="1008471"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QUICK</a:t>
            </a:r>
            <a:r>
              <a:rPr lang="en-US" sz="1100" b="1" baseline="0">
                <a:solidFill>
                  <a:schemeClr val="bg1"/>
                </a:solidFill>
              </a:rPr>
              <a:t> </a:t>
            </a:r>
            <a:r>
              <a:rPr lang="en-US" sz="1100" b="1">
                <a:solidFill>
                  <a:schemeClr val="bg1"/>
                </a:solidFill>
              </a:rPr>
              <a:t>TORQUE</a:t>
            </a:r>
          </a:p>
        </xdr:txBody>
      </xdr:sp>
      <xdr:sp macro="" textlink="">
        <xdr:nvSpPr>
          <xdr:cNvPr id="30" name="Round Same Side Corner Rectangle 29">
            <a:hlinkClick xmlns:r="http://schemas.openxmlformats.org/officeDocument/2006/relationships" r:id="rId9"/>
          </xdr:cNvPr>
          <xdr:cNvSpPr/>
        </xdr:nvSpPr>
        <xdr:spPr bwMode="auto">
          <a:xfrm flipV="1">
            <a:off x="2187806" y="860640"/>
            <a:ext cx="1010967"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G.S.T.</a:t>
            </a:r>
          </a:p>
        </xdr:txBody>
      </xdr:sp>
      <xdr:sp macro="" textlink="">
        <xdr:nvSpPr>
          <xdr:cNvPr id="31" name="Round Same Side Corner Rectangle 30">
            <a:hlinkClick xmlns:r="http://schemas.openxmlformats.org/officeDocument/2006/relationships" r:id="rId10"/>
          </xdr:cNvPr>
          <xdr:cNvSpPr/>
        </xdr:nvSpPr>
        <xdr:spPr bwMode="auto">
          <a:xfrm flipV="1">
            <a:off x="3283588" y="860640"/>
            <a:ext cx="1008054"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RING</a:t>
            </a:r>
            <a:r>
              <a:rPr lang="en-US" sz="1100" b="1" baseline="0">
                <a:solidFill>
                  <a:schemeClr val="bg1"/>
                </a:solidFill>
              </a:rPr>
              <a:t> GASKET</a:t>
            </a:r>
            <a:endParaRPr lang="en-US" sz="1100" b="1">
              <a:solidFill>
                <a:schemeClr val="bg1"/>
              </a:solidFill>
            </a:endParaRPr>
          </a:p>
        </xdr:txBody>
      </xdr:sp>
      <xdr:sp macro="" textlink="">
        <xdr:nvSpPr>
          <xdr:cNvPr id="32" name="Round Same Side Corner Rectangle 31">
            <a:hlinkClick xmlns:r="http://schemas.openxmlformats.org/officeDocument/2006/relationships" r:id="rId11"/>
          </xdr:cNvPr>
          <xdr:cNvSpPr/>
        </xdr:nvSpPr>
        <xdr:spPr bwMode="auto">
          <a:xfrm flipV="1">
            <a:off x="4376342" y="860640"/>
            <a:ext cx="1008470"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FULL FACE GASKET</a:t>
            </a:r>
          </a:p>
        </xdr:txBody>
      </xdr:sp>
      <xdr:sp macro="" textlink="">
        <xdr:nvSpPr>
          <xdr:cNvPr id="33" name="Round Same Side Corner Rectangle 32">
            <a:hlinkClick xmlns:r="http://schemas.openxmlformats.org/officeDocument/2006/relationships" r:id="rId12"/>
          </xdr:cNvPr>
          <xdr:cNvSpPr/>
        </xdr:nvSpPr>
        <xdr:spPr bwMode="auto">
          <a:xfrm flipV="1">
            <a:off x="5475727" y="860640"/>
            <a:ext cx="1005559"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RECTANGULAR GASKET</a:t>
            </a:r>
          </a:p>
        </xdr:txBody>
      </xdr:sp>
      <xdr:sp macro="" textlink="">
        <xdr:nvSpPr>
          <xdr:cNvPr id="34" name="Round Same Side Corner Rectangle 33">
            <a:hlinkClick xmlns:r="http://schemas.openxmlformats.org/officeDocument/2006/relationships" r:id="rId13"/>
          </xdr:cNvPr>
          <xdr:cNvSpPr/>
        </xdr:nvSpPr>
        <xdr:spPr bwMode="auto">
          <a:xfrm flipV="1">
            <a:off x="6563444" y="860640"/>
            <a:ext cx="1008887"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ELLIPTICAL GASKET</a:t>
            </a:r>
          </a:p>
        </xdr:txBody>
      </xdr:sp>
      <xdr:sp macro="" textlink="">
        <xdr:nvSpPr>
          <xdr:cNvPr id="35" name="Round Same Side Corner Rectangle 34">
            <a:hlinkClick xmlns:r="http://schemas.openxmlformats.org/officeDocument/2006/relationships" r:id="rId14"/>
          </xdr:cNvPr>
          <xdr:cNvSpPr/>
        </xdr:nvSpPr>
        <xdr:spPr bwMode="auto">
          <a:xfrm flipV="1">
            <a:off x="7652517" y="860640"/>
            <a:ext cx="1012974"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OBROUND GASKET</a:t>
            </a:r>
          </a:p>
        </xdr:txBody>
      </xdr:sp>
      <xdr:pic>
        <xdr:nvPicPr>
          <xdr:cNvPr id="36" name="Picture 35">
            <a:hlinkClick xmlns:r="http://schemas.openxmlformats.org/officeDocument/2006/relationships" r:id="rId1"/>
          </xdr:cNvPr>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62752" y="98615"/>
            <a:ext cx="2096658" cy="575198"/>
          </a:xfrm>
          <a:prstGeom prst="rect">
            <a:avLst/>
          </a:prstGeom>
        </xdr:spPr>
      </xdr:pic>
      <xdr:sp macro="" textlink="">
        <xdr:nvSpPr>
          <xdr:cNvPr id="37" name="Round Same Side Corner Rectangle 36">
            <a:hlinkClick xmlns:r="http://schemas.openxmlformats.org/officeDocument/2006/relationships" r:id="rId16"/>
          </xdr:cNvPr>
          <xdr:cNvSpPr/>
        </xdr:nvSpPr>
        <xdr:spPr bwMode="auto">
          <a:xfrm flipV="1">
            <a:off x="8740616" y="860640"/>
            <a:ext cx="1012974"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BOLT </a:t>
            </a:r>
            <a:r>
              <a:rPr lang="en-US" sz="1100" b="1" baseline="0">
                <a:solidFill>
                  <a:schemeClr val="bg1"/>
                </a:solidFill>
              </a:rPr>
              <a:t>TABLE</a:t>
            </a:r>
            <a:endParaRPr lang="en-US" sz="1100" b="1">
              <a:solidFill>
                <a:schemeClr val="bg1"/>
              </a:solidFill>
            </a:endParaRPr>
          </a:p>
        </xdr:txBody>
      </xdr:sp>
      <xdr:sp macro="" textlink="">
        <xdr:nvSpPr>
          <xdr:cNvPr id="38" name="Rectangle 37"/>
          <xdr:cNvSpPr/>
        </xdr:nvSpPr>
        <xdr:spPr bwMode="auto">
          <a:xfrm>
            <a:off x="0" y="708216"/>
            <a:ext cx="10874188" cy="170330"/>
          </a:xfrm>
          <a:prstGeom prst="rect">
            <a:avLst/>
          </a:prstGeom>
          <a:solidFill>
            <a:srgbClr val="132863"/>
          </a:solidFill>
          <a:ln w="12700"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215154</xdr:colOff>
      <xdr:row>5</xdr:row>
      <xdr:rowOff>97972</xdr:rowOff>
    </xdr:from>
    <xdr:to>
      <xdr:col>13</xdr:col>
      <xdr:colOff>206188</xdr:colOff>
      <xdr:row>7</xdr:row>
      <xdr:rowOff>72717</xdr:rowOff>
    </xdr:to>
    <xdr:sp macro="" textlink="">
      <xdr:nvSpPr>
        <xdr:cNvPr id="16" name="Rounded Rectangle 15">
          <a:hlinkClick xmlns:r="http://schemas.openxmlformats.org/officeDocument/2006/relationships" r:id="rId1"/>
        </xdr:cNvPr>
        <xdr:cNvSpPr>
          <a:spLocks/>
        </xdr:cNvSpPr>
      </xdr:nvSpPr>
      <xdr:spPr bwMode="auto">
        <a:xfrm>
          <a:off x="8184778" y="2697737"/>
          <a:ext cx="2590798" cy="485733"/>
        </a:xfrm>
        <a:prstGeom prst="roundRect">
          <a:avLst/>
        </a:prstGeom>
        <a:solidFill>
          <a:srgbClr val="3546E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anchorCtr="0" upright="1"/>
        <a:lstStyle/>
        <a:p>
          <a:pPr algn="ctr"/>
          <a:r>
            <a:rPr lang="en-US" sz="1800" b="1">
              <a:solidFill>
                <a:schemeClr val="bg1"/>
              </a:solidFill>
            </a:rPr>
            <a:t>Garlock.com</a:t>
          </a:r>
        </a:p>
      </xdr:txBody>
    </xdr:sp>
    <xdr:clientData/>
  </xdr:twoCellAnchor>
  <xdr:twoCellAnchor>
    <xdr:from>
      <xdr:col>10</xdr:col>
      <xdr:colOff>215153</xdr:colOff>
      <xdr:row>8</xdr:row>
      <xdr:rowOff>10886</xdr:rowOff>
    </xdr:from>
    <xdr:to>
      <xdr:col>13</xdr:col>
      <xdr:colOff>206187</xdr:colOff>
      <xdr:row>10</xdr:row>
      <xdr:rowOff>127146</xdr:rowOff>
    </xdr:to>
    <xdr:sp macro="" textlink="">
      <xdr:nvSpPr>
        <xdr:cNvPr id="17" name="Rounded Rectangle 16">
          <a:hlinkClick xmlns:r="http://schemas.openxmlformats.org/officeDocument/2006/relationships" r:id="rId2"/>
        </xdr:cNvPr>
        <xdr:cNvSpPr>
          <a:spLocks/>
        </xdr:cNvSpPr>
      </xdr:nvSpPr>
      <xdr:spPr bwMode="auto">
        <a:xfrm>
          <a:off x="8184777" y="3336792"/>
          <a:ext cx="2590798" cy="465883"/>
        </a:xfrm>
        <a:prstGeom prst="roundRect">
          <a:avLst/>
        </a:prstGeom>
        <a:solidFill>
          <a:srgbClr val="3546E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anchorCtr="0" upright="1"/>
        <a:lstStyle/>
        <a:p>
          <a:pPr algn="ctr"/>
          <a:r>
            <a:rPr lang="en-US" sz="1800" b="1">
              <a:solidFill>
                <a:schemeClr val="bg1"/>
              </a:solidFill>
            </a:rPr>
            <a:t>Engineering</a:t>
          </a:r>
          <a:r>
            <a:rPr lang="en-US" sz="1800" b="1" baseline="0">
              <a:solidFill>
                <a:schemeClr val="bg1"/>
              </a:solidFill>
            </a:rPr>
            <a:t> Tools</a:t>
          </a:r>
          <a:endParaRPr lang="en-US" sz="1800" b="1">
            <a:solidFill>
              <a:schemeClr val="bg1"/>
            </a:solidFill>
          </a:endParaRPr>
        </a:p>
      </xdr:txBody>
    </xdr:sp>
    <xdr:clientData/>
  </xdr:twoCellAnchor>
  <xdr:twoCellAnchor>
    <xdr:from>
      <xdr:col>10</xdr:col>
      <xdr:colOff>215153</xdr:colOff>
      <xdr:row>12</xdr:row>
      <xdr:rowOff>20676</xdr:rowOff>
    </xdr:from>
    <xdr:to>
      <xdr:col>13</xdr:col>
      <xdr:colOff>206187</xdr:colOff>
      <xdr:row>14</xdr:row>
      <xdr:rowOff>224021</xdr:rowOff>
    </xdr:to>
    <xdr:sp macro="" textlink="">
      <xdr:nvSpPr>
        <xdr:cNvPr id="18" name="Rounded Rectangle 17">
          <a:hlinkClick xmlns:r="http://schemas.openxmlformats.org/officeDocument/2006/relationships" r:id="rId3"/>
        </xdr:cNvPr>
        <xdr:cNvSpPr>
          <a:spLocks/>
        </xdr:cNvSpPr>
      </xdr:nvSpPr>
      <xdr:spPr bwMode="auto">
        <a:xfrm>
          <a:off x="8184777" y="3974111"/>
          <a:ext cx="2590798" cy="481251"/>
        </a:xfrm>
        <a:prstGeom prst="roundRect">
          <a:avLst/>
        </a:prstGeom>
        <a:solidFill>
          <a:srgbClr val="3546E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anchorCtr="0" upright="1"/>
        <a:lstStyle/>
        <a:p>
          <a:pPr algn="ctr"/>
          <a:r>
            <a:rPr lang="en-US" sz="1800" b="1">
              <a:solidFill>
                <a:schemeClr val="bg1"/>
              </a:solidFill>
              <a:effectLst/>
              <a:latin typeface="+mn-lt"/>
              <a:ea typeface="+mn-ea"/>
              <a:cs typeface="+mn-cs"/>
            </a:rPr>
            <a:t>Installation Instructions</a:t>
          </a:r>
          <a:endParaRPr lang="en-US" sz="1800">
            <a:solidFill>
              <a:schemeClr val="bg1"/>
            </a:solidFill>
            <a:effectLst/>
          </a:endParaRPr>
        </a:p>
      </xdr:txBody>
    </xdr:sp>
    <xdr:clientData/>
  </xdr:twoCellAnchor>
  <xdr:twoCellAnchor>
    <xdr:from>
      <xdr:col>10</xdr:col>
      <xdr:colOff>226491</xdr:colOff>
      <xdr:row>16</xdr:row>
      <xdr:rowOff>142598</xdr:rowOff>
    </xdr:from>
    <xdr:to>
      <xdr:col>13</xdr:col>
      <xdr:colOff>208763</xdr:colOff>
      <xdr:row>18</xdr:row>
      <xdr:rowOff>160886</xdr:rowOff>
    </xdr:to>
    <xdr:sp macro="" textlink="">
      <xdr:nvSpPr>
        <xdr:cNvPr id="19" name="Rounded Rectangle 18">
          <a:hlinkClick xmlns:r="http://schemas.openxmlformats.org/officeDocument/2006/relationships" r:id="rId4"/>
        </xdr:cNvPr>
        <xdr:cNvSpPr>
          <a:spLocks/>
        </xdr:cNvSpPr>
      </xdr:nvSpPr>
      <xdr:spPr bwMode="auto">
        <a:xfrm>
          <a:off x="8196115" y="4651845"/>
          <a:ext cx="2582036" cy="484453"/>
        </a:xfrm>
        <a:prstGeom prst="roundRect">
          <a:avLst/>
        </a:prstGeom>
        <a:solidFill>
          <a:srgbClr val="3546E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anchorCtr="0" upright="1"/>
        <a:lstStyle/>
        <a:p>
          <a:pPr algn="ctr"/>
          <a:r>
            <a:rPr lang="en-US" sz="1800" b="1">
              <a:solidFill>
                <a:schemeClr val="bg1"/>
              </a:solidFill>
            </a:rPr>
            <a:t>Product Selector</a:t>
          </a:r>
        </a:p>
      </xdr:txBody>
    </xdr:sp>
    <xdr:clientData/>
  </xdr:twoCellAnchor>
  <xdr:twoCellAnchor editAs="oneCell">
    <xdr:from>
      <xdr:col>0</xdr:col>
      <xdr:colOff>185060</xdr:colOff>
      <xdr:row>7</xdr:row>
      <xdr:rowOff>71528</xdr:rowOff>
    </xdr:from>
    <xdr:to>
      <xdr:col>1</xdr:col>
      <xdr:colOff>1513116</xdr:colOff>
      <xdr:row>26</xdr:row>
      <xdr:rowOff>97430</xdr:rowOff>
    </xdr:to>
    <xdr:pic>
      <xdr:nvPicPr>
        <xdr:cNvPr id="21" name="Picture 20"/>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rot="16200000">
          <a:off x="-502805" y="3861822"/>
          <a:ext cx="3324272" cy="1948542"/>
        </a:xfrm>
        <a:prstGeom prst="rect">
          <a:avLst/>
        </a:prstGeom>
      </xdr:spPr>
    </xdr:pic>
    <xdr:clientData/>
  </xdr:twoCellAnchor>
  <xdr:twoCellAnchor>
    <xdr:from>
      <xdr:col>0</xdr:col>
      <xdr:colOff>0</xdr:colOff>
      <xdr:row>0</xdr:row>
      <xdr:rowOff>98615</xdr:rowOff>
    </xdr:from>
    <xdr:to>
      <xdr:col>13</xdr:col>
      <xdr:colOff>304800</xdr:colOff>
      <xdr:row>0</xdr:row>
      <xdr:rowOff>1296923</xdr:rowOff>
    </xdr:to>
    <xdr:grpSp>
      <xdr:nvGrpSpPr>
        <xdr:cNvPr id="3" name="Group 2"/>
        <xdr:cNvGrpSpPr/>
      </xdr:nvGrpSpPr>
      <xdr:grpSpPr>
        <a:xfrm>
          <a:off x="0" y="98615"/>
          <a:ext cx="10874188" cy="1198308"/>
          <a:chOff x="0" y="98615"/>
          <a:chExt cx="10874188" cy="1198308"/>
        </a:xfrm>
      </xdr:grpSpPr>
      <xdr:sp macro="" textlink="">
        <xdr:nvSpPr>
          <xdr:cNvPr id="23" name="Round Same Side Corner Rectangle 22">
            <a:hlinkClick xmlns:r="http://schemas.openxmlformats.org/officeDocument/2006/relationships" r:id="rId6"/>
          </xdr:cNvPr>
          <xdr:cNvSpPr/>
        </xdr:nvSpPr>
        <xdr:spPr bwMode="auto">
          <a:xfrm flipV="1">
            <a:off x="9834319" y="860614"/>
            <a:ext cx="1012974"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TECHNICAL</a:t>
            </a:r>
            <a:r>
              <a:rPr lang="en-US" sz="1100" b="1" baseline="0">
                <a:solidFill>
                  <a:schemeClr val="bg1"/>
                </a:solidFill>
              </a:rPr>
              <a:t> SUPPORT</a:t>
            </a:r>
            <a:endParaRPr lang="en-US" sz="1100" b="1">
              <a:solidFill>
                <a:schemeClr val="bg1"/>
              </a:solidFill>
            </a:endParaRPr>
          </a:p>
        </xdr:txBody>
      </xdr:sp>
      <xdr:sp macro="" textlink="">
        <xdr:nvSpPr>
          <xdr:cNvPr id="24" name="Round Same Side Corner Rectangle 23">
            <a:hlinkClick xmlns:r="http://schemas.openxmlformats.org/officeDocument/2006/relationships" r:id="rId7"/>
          </xdr:cNvPr>
          <xdr:cNvSpPr/>
        </xdr:nvSpPr>
        <xdr:spPr bwMode="auto">
          <a:xfrm flipV="1">
            <a:off x="1" y="860640"/>
            <a:ext cx="1008471"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HOME</a:t>
            </a:r>
          </a:p>
        </xdr:txBody>
      </xdr:sp>
      <xdr:sp macro="" textlink="">
        <xdr:nvSpPr>
          <xdr:cNvPr id="25" name="WordArt 53"/>
          <xdr:cNvSpPr>
            <a:spLocks noChangeArrowheads="1" noChangeShapeType="1" noTextEdit="1"/>
          </xdr:cNvSpPr>
        </xdr:nvSpPr>
        <xdr:spPr bwMode="auto">
          <a:xfrm>
            <a:off x="6947646" y="197225"/>
            <a:ext cx="3729319" cy="286871"/>
          </a:xfrm>
          <a:prstGeom prst="rect">
            <a:avLst/>
          </a:prstGeom>
        </xdr:spPr>
        <xdr:txBody>
          <a:bodyPr wrap="none" fromWordArt="1">
            <a:prstTxWarp prst="textPlain">
              <a:avLst>
                <a:gd name="adj" fmla="val 50000"/>
              </a:avLst>
            </a:prstTxWarp>
          </a:bodyPr>
          <a:lstStyle/>
          <a:p>
            <a:pPr algn="ctr" rtl="0"/>
            <a:r>
              <a:rPr lang="en-US" sz="4800" b="0" i="1" kern="10" spc="0">
                <a:ln w="9525">
                  <a:solidFill>
                    <a:schemeClr val="tx1"/>
                  </a:solidFill>
                  <a:round/>
                  <a:headEnd/>
                  <a:tailEnd/>
                </a:ln>
                <a:gradFill flip="none" rotWithShape="1">
                  <a:gsLst>
                    <a:gs pos="0">
                      <a:srgbClr val="FFFFFF"/>
                    </a:gs>
                    <a:gs pos="7001">
                      <a:srgbClr val="E6E6E6"/>
                    </a:gs>
                    <a:gs pos="32001">
                      <a:schemeClr val="bg1">
                        <a:lumMod val="75000"/>
                      </a:schemeClr>
                    </a:gs>
                    <a:gs pos="47000">
                      <a:srgbClr val="E6E6E6"/>
                    </a:gs>
                    <a:gs pos="85001">
                      <a:schemeClr val="bg1">
                        <a:lumMod val="75000"/>
                      </a:schemeClr>
                    </a:gs>
                    <a:gs pos="100000">
                      <a:srgbClr val="E6E6E6"/>
                    </a:gs>
                  </a:gsLst>
                  <a:lin ang="2700000" scaled="1"/>
                  <a:tileRect/>
                </a:gradFill>
                <a:effectLst>
                  <a:outerShdw dist="35921" dir="2700000" algn="ctr" rotWithShape="0">
                    <a:srgbClr val="000000"/>
                  </a:outerShdw>
                </a:effectLst>
                <a:latin typeface="Impact" panose="020B0806030902050204" pitchFamily="34" charset="0"/>
              </a:rPr>
              <a:t>Gasket Calculator 6.0</a:t>
            </a:r>
          </a:p>
        </xdr:txBody>
      </xdr:sp>
      <xdr:sp macro="" textlink="">
        <xdr:nvSpPr>
          <xdr:cNvPr id="26" name="Round Same Side Corner Rectangle 25">
            <a:hlinkClick xmlns:r="http://schemas.openxmlformats.org/officeDocument/2006/relationships" r:id="rId8"/>
          </xdr:cNvPr>
          <xdr:cNvSpPr/>
        </xdr:nvSpPr>
        <xdr:spPr bwMode="auto">
          <a:xfrm flipV="1">
            <a:off x="1093731" y="860640"/>
            <a:ext cx="1008471"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QUICK</a:t>
            </a:r>
            <a:r>
              <a:rPr lang="en-US" sz="1100" b="1" baseline="0">
                <a:solidFill>
                  <a:schemeClr val="bg1"/>
                </a:solidFill>
              </a:rPr>
              <a:t> </a:t>
            </a:r>
            <a:r>
              <a:rPr lang="en-US" sz="1100" b="1">
                <a:solidFill>
                  <a:schemeClr val="bg1"/>
                </a:solidFill>
              </a:rPr>
              <a:t>TORQUE</a:t>
            </a:r>
          </a:p>
        </xdr:txBody>
      </xdr:sp>
      <xdr:sp macro="" textlink="">
        <xdr:nvSpPr>
          <xdr:cNvPr id="27" name="Round Same Side Corner Rectangle 26">
            <a:hlinkClick xmlns:r="http://schemas.openxmlformats.org/officeDocument/2006/relationships" r:id="rId9"/>
          </xdr:cNvPr>
          <xdr:cNvSpPr/>
        </xdr:nvSpPr>
        <xdr:spPr bwMode="auto">
          <a:xfrm flipV="1">
            <a:off x="2187806" y="860640"/>
            <a:ext cx="1010967"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G.S.T.</a:t>
            </a:r>
          </a:p>
        </xdr:txBody>
      </xdr:sp>
      <xdr:sp macro="" textlink="">
        <xdr:nvSpPr>
          <xdr:cNvPr id="28" name="Round Same Side Corner Rectangle 27">
            <a:hlinkClick xmlns:r="http://schemas.openxmlformats.org/officeDocument/2006/relationships" r:id="rId10"/>
          </xdr:cNvPr>
          <xdr:cNvSpPr/>
        </xdr:nvSpPr>
        <xdr:spPr bwMode="auto">
          <a:xfrm flipV="1">
            <a:off x="3283588" y="860640"/>
            <a:ext cx="1008054"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RING</a:t>
            </a:r>
            <a:r>
              <a:rPr lang="en-US" sz="1100" b="1" baseline="0">
                <a:solidFill>
                  <a:schemeClr val="bg1"/>
                </a:solidFill>
              </a:rPr>
              <a:t> GASKET</a:t>
            </a:r>
            <a:endParaRPr lang="en-US" sz="1100" b="1">
              <a:solidFill>
                <a:schemeClr val="bg1"/>
              </a:solidFill>
            </a:endParaRPr>
          </a:p>
        </xdr:txBody>
      </xdr:sp>
      <xdr:sp macro="" textlink="">
        <xdr:nvSpPr>
          <xdr:cNvPr id="29" name="Round Same Side Corner Rectangle 28">
            <a:hlinkClick xmlns:r="http://schemas.openxmlformats.org/officeDocument/2006/relationships" r:id="rId11"/>
          </xdr:cNvPr>
          <xdr:cNvSpPr/>
        </xdr:nvSpPr>
        <xdr:spPr bwMode="auto">
          <a:xfrm flipV="1">
            <a:off x="4376342" y="860640"/>
            <a:ext cx="1008470"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FULL FACE GASKET</a:t>
            </a:r>
          </a:p>
        </xdr:txBody>
      </xdr:sp>
      <xdr:sp macro="" textlink="">
        <xdr:nvSpPr>
          <xdr:cNvPr id="30" name="Round Same Side Corner Rectangle 29">
            <a:hlinkClick xmlns:r="http://schemas.openxmlformats.org/officeDocument/2006/relationships" r:id="rId12"/>
          </xdr:cNvPr>
          <xdr:cNvSpPr/>
        </xdr:nvSpPr>
        <xdr:spPr bwMode="auto">
          <a:xfrm flipV="1">
            <a:off x="5475727" y="860640"/>
            <a:ext cx="1005559"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RECTANGULAR GASKET</a:t>
            </a:r>
          </a:p>
        </xdr:txBody>
      </xdr:sp>
      <xdr:sp macro="" textlink="">
        <xdr:nvSpPr>
          <xdr:cNvPr id="31" name="Round Same Side Corner Rectangle 30">
            <a:hlinkClick xmlns:r="http://schemas.openxmlformats.org/officeDocument/2006/relationships" r:id="rId13"/>
          </xdr:cNvPr>
          <xdr:cNvSpPr/>
        </xdr:nvSpPr>
        <xdr:spPr bwMode="auto">
          <a:xfrm flipV="1">
            <a:off x="6563444" y="860640"/>
            <a:ext cx="1008887"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ELLIPTICAL GASKET</a:t>
            </a:r>
          </a:p>
        </xdr:txBody>
      </xdr:sp>
      <xdr:sp macro="" textlink="">
        <xdr:nvSpPr>
          <xdr:cNvPr id="32" name="Round Same Side Corner Rectangle 31">
            <a:hlinkClick xmlns:r="http://schemas.openxmlformats.org/officeDocument/2006/relationships" r:id="rId14"/>
          </xdr:cNvPr>
          <xdr:cNvSpPr/>
        </xdr:nvSpPr>
        <xdr:spPr bwMode="auto">
          <a:xfrm flipV="1">
            <a:off x="7652517" y="860640"/>
            <a:ext cx="1012974"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OBROUND GASKET</a:t>
            </a:r>
          </a:p>
        </xdr:txBody>
      </xdr:sp>
      <xdr:pic>
        <xdr:nvPicPr>
          <xdr:cNvPr id="33" name="Picture 32">
            <a:hlinkClick xmlns:r="http://schemas.openxmlformats.org/officeDocument/2006/relationships" r:id="rId1"/>
          </xdr:cNvPr>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62752" y="98615"/>
            <a:ext cx="2096658" cy="575198"/>
          </a:xfrm>
          <a:prstGeom prst="rect">
            <a:avLst/>
          </a:prstGeom>
        </xdr:spPr>
      </xdr:pic>
      <xdr:sp macro="" textlink="">
        <xdr:nvSpPr>
          <xdr:cNvPr id="34" name="Round Same Side Corner Rectangle 33">
            <a:hlinkClick xmlns:r="http://schemas.openxmlformats.org/officeDocument/2006/relationships" r:id="rId16"/>
          </xdr:cNvPr>
          <xdr:cNvSpPr/>
        </xdr:nvSpPr>
        <xdr:spPr bwMode="auto">
          <a:xfrm flipV="1">
            <a:off x="8740616" y="860640"/>
            <a:ext cx="1012974"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BOLT </a:t>
            </a:r>
            <a:r>
              <a:rPr lang="en-US" sz="1100" b="1" baseline="0">
                <a:solidFill>
                  <a:schemeClr val="bg1"/>
                </a:solidFill>
              </a:rPr>
              <a:t>TABLE</a:t>
            </a:r>
            <a:endParaRPr lang="en-US" sz="1100" b="1">
              <a:solidFill>
                <a:schemeClr val="bg1"/>
              </a:solidFill>
            </a:endParaRPr>
          </a:p>
        </xdr:txBody>
      </xdr:sp>
      <xdr:sp macro="" textlink="">
        <xdr:nvSpPr>
          <xdr:cNvPr id="35" name="Rectangle 34"/>
          <xdr:cNvSpPr/>
        </xdr:nvSpPr>
        <xdr:spPr bwMode="auto">
          <a:xfrm>
            <a:off x="0" y="708216"/>
            <a:ext cx="10874188" cy="170330"/>
          </a:xfrm>
          <a:prstGeom prst="rect">
            <a:avLst/>
          </a:prstGeom>
          <a:solidFill>
            <a:srgbClr val="132863"/>
          </a:solidFill>
          <a:ln w="12700"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97430</xdr:colOff>
      <xdr:row>6</xdr:row>
      <xdr:rowOff>195944</xdr:rowOff>
    </xdr:from>
    <xdr:to>
      <xdr:col>1</xdr:col>
      <xdr:colOff>1539364</xdr:colOff>
      <xdr:row>27</xdr:row>
      <xdr:rowOff>87087</xdr:rowOff>
    </xdr:to>
    <xdr:pic>
      <xdr:nvPicPr>
        <xdr:cNvPr id="22" name="Picture 2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rot="16200000">
          <a:off x="-629403" y="3796606"/>
          <a:ext cx="3516085" cy="2062420"/>
        </a:xfrm>
        <a:prstGeom prst="rect">
          <a:avLst/>
        </a:prstGeom>
      </xdr:spPr>
    </xdr:pic>
    <xdr:clientData/>
  </xdr:twoCellAnchor>
  <xdr:twoCellAnchor>
    <xdr:from>
      <xdr:col>0</xdr:col>
      <xdr:colOff>0</xdr:colOff>
      <xdr:row>0</xdr:row>
      <xdr:rowOff>98615</xdr:rowOff>
    </xdr:from>
    <xdr:to>
      <xdr:col>13</xdr:col>
      <xdr:colOff>304800</xdr:colOff>
      <xdr:row>0</xdr:row>
      <xdr:rowOff>1296923</xdr:rowOff>
    </xdr:to>
    <xdr:grpSp>
      <xdr:nvGrpSpPr>
        <xdr:cNvPr id="3" name="Group 2"/>
        <xdr:cNvGrpSpPr/>
      </xdr:nvGrpSpPr>
      <xdr:grpSpPr>
        <a:xfrm>
          <a:off x="0" y="98615"/>
          <a:ext cx="10874188" cy="1198308"/>
          <a:chOff x="0" y="98615"/>
          <a:chExt cx="10874188" cy="1198308"/>
        </a:xfrm>
      </xdr:grpSpPr>
      <xdr:sp macro="" textlink="">
        <xdr:nvSpPr>
          <xdr:cNvPr id="23" name="Round Same Side Corner Rectangle 22">
            <a:hlinkClick xmlns:r="http://schemas.openxmlformats.org/officeDocument/2006/relationships" r:id="rId2"/>
          </xdr:cNvPr>
          <xdr:cNvSpPr/>
        </xdr:nvSpPr>
        <xdr:spPr bwMode="auto">
          <a:xfrm flipV="1">
            <a:off x="9834319" y="860614"/>
            <a:ext cx="1012974"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TECHNICAL</a:t>
            </a:r>
            <a:r>
              <a:rPr lang="en-US" sz="1100" b="1" baseline="0">
                <a:solidFill>
                  <a:schemeClr val="bg1"/>
                </a:solidFill>
              </a:rPr>
              <a:t> SUPPORT</a:t>
            </a:r>
            <a:endParaRPr lang="en-US" sz="1100" b="1">
              <a:solidFill>
                <a:schemeClr val="bg1"/>
              </a:solidFill>
            </a:endParaRPr>
          </a:p>
        </xdr:txBody>
      </xdr:sp>
      <xdr:sp macro="" textlink="">
        <xdr:nvSpPr>
          <xdr:cNvPr id="24" name="Round Same Side Corner Rectangle 23">
            <a:hlinkClick xmlns:r="http://schemas.openxmlformats.org/officeDocument/2006/relationships" r:id="rId3"/>
          </xdr:cNvPr>
          <xdr:cNvSpPr/>
        </xdr:nvSpPr>
        <xdr:spPr bwMode="auto">
          <a:xfrm flipV="1">
            <a:off x="1" y="860640"/>
            <a:ext cx="1008471"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HOME</a:t>
            </a:r>
          </a:p>
        </xdr:txBody>
      </xdr:sp>
      <xdr:sp macro="" textlink="">
        <xdr:nvSpPr>
          <xdr:cNvPr id="25" name="WordArt 53"/>
          <xdr:cNvSpPr>
            <a:spLocks noChangeArrowheads="1" noChangeShapeType="1" noTextEdit="1"/>
          </xdr:cNvSpPr>
        </xdr:nvSpPr>
        <xdr:spPr bwMode="auto">
          <a:xfrm>
            <a:off x="6947646" y="197225"/>
            <a:ext cx="3729319" cy="286871"/>
          </a:xfrm>
          <a:prstGeom prst="rect">
            <a:avLst/>
          </a:prstGeom>
        </xdr:spPr>
        <xdr:txBody>
          <a:bodyPr wrap="none" fromWordArt="1">
            <a:prstTxWarp prst="textPlain">
              <a:avLst>
                <a:gd name="adj" fmla="val 50000"/>
              </a:avLst>
            </a:prstTxWarp>
          </a:bodyPr>
          <a:lstStyle/>
          <a:p>
            <a:pPr algn="ctr" rtl="0"/>
            <a:r>
              <a:rPr lang="en-US" sz="4800" b="0" i="1" kern="10" spc="0">
                <a:ln w="9525">
                  <a:solidFill>
                    <a:schemeClr val="tx1"/>
                  </a:solidFill>
                  <a:round/>
                  <a:headEnd/>
                  <a:tailEnd/>
                </a:ln>
                <a:gradFill flip="none" rotWithShape="1">
                  <a:gsLst>
                    <a:gs pos="0">
                      <a:srgbClr val="FFFFFF"/>
                    </a:gs>
                    <a:gs pos="7001">
                      <a:srgbClr val="E6E6E6"/>
                    </a:gs>
                    <a:gs pos="32001">
                      <a:schemeClr val="bg1">
                        <a:lumMod val="75000"/>
                      </a:schemeClr>
                    </a:gs>
                    <a:gs pos="47000">
                      <a:srgbClr val="E6E6E6"/>
                    </a:gs>
                    <a:gs pos="85001">
                      <a:schemeClr val="bg1">
                        <a:lumMod val="75000"/>
                      </a:schemeClr>
                    </a:gs>
                    <a:gs pos="100000">
                      <a:srgbClr val="E6E6E6"/>
                    </a:gs>
                  </a:gsLst>
                  <a:lin ang="2700000" scaled="1"/>
                  <a:tileRect/>
                </a:gradFill>
                <a:effectLst>
                  <a:outerShdw dist="35921" dir="2700000" algn="ctr" rotWithShape="0">
                    <a:srgbClr val="000000"/>
                  </a:outerShdw>
                </a:effectLst>
                <a:latin typeface="Impact" panose="020B0806030902050204" pitchFamily="34" charset="0"/>
              </a:rPr>
              <a:t>Gasket Calculator 6.0</a:t>
            </a:r>
          </a:p>
        </xdr:txBody>
      </xdr:sp>
      <xdr:sp macro="" textlink="">
        <xdr:nvSpPr>
          <xdr:cNvPr id="26" name="Round Same Side Corner Rectangle 25">
            <a:hlinkClick xmlns:r="http://schemas.openxmlformats.org/officeDocument/2006/relationships" r:id="rId4"/>
          </xdr:cNvPr>
          <xdr:cNvSpPr/>
        </xdr:nvSpPr>
        <xdr:spPr bwMode="auto">
          <a:xfrm flipV="1">
            <a:off x="1093731" y="860640"/>
            <a:ext cx="1008471"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QUICK</a:t>
            </a:r>
            <a:r>
              <a:rPr lang="en-US" sz="1100" b="1" baseline="0">
                <a:solidFill>
                  <a:schemeClr val="bg1"/>
                </a:solidFill>
              </a:rPr>
              <a:t> </a:t>
            </a:r>
            <a:r>
              <a:rPr lang="en-US" sz="1100" b="1">
                <a:solidFill>
                  <a:schemeClr val="bg1"/>
                </a:solidFill>
              </a:rPr>
              <a:t>TORQUE</a:t>
            </a:r>
          </a:p>
        </xdr:txBody>
      </xdr:sp>
      <xdr:sp macro="" textlink="">
        <xdr:nvSpPr>
          <xdr:cNvPr id="27" name="Round Same Side Corner Rectangle 26">
            <a:hlinkClick xmlns:r="http://schemas.openxmlformats.org/officeDocument/2006/relationships" r:id="rId5"/>
          </xdr:cNvPr>
          <xdr:cNvSpPr/>
        </xdr:nvSpPr>
        <xdr:spPr bwMode="auto">
          <a:xfrm flipV="1">
            <a:off x="2187806" y="860640"/>
            <a:ext cx="1010967"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G.S.T.</a:t>
            </a:r>
          </a:p>
        </xdr:txBody>
      </xdr:sp>
      <xdr:sp macro="" textlink="">
        <xdr:nvSpPr>
          <xdr:cNvPr id="28" name="Round Same Side Corner Rectangle 27">
            <a:hlinkClick xmlns:r="http://schemas.openxmlformats.org/officeDocument/2006/relationships" r:id="rId6"/>
          </xdr:cNvPr>
          <xdr:cNvSpPr/>
        </xdr:nvSpPr>
        <xdr:spPr bwMode="auto">
          <a:xfrm flipV="1">
            <a:off x="3283588" y="860640"/>
            <a:ext cx="1008054"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RING</a:t>
            </a:r>
            <a:r>
              <a:rPr lang="en-US" sz="1100" b="1" baseline="0">
                <a:solidFill>
                  <a:schemeClr val="bg1"/>
                </a:solidFill>
              </a:rPr>
              <a:t> GASKET</a:t>
            </a:r>
            <a:endParaRPr lang="en-US" sz="1100" b="1">
              <a:solidFill>
                <a:schemeClr val="bg1"/>
              </a:solidFill>
            </a:endParaRPr>
          </a:p>
        </xdr:txBody>
      </xdr:sp>
      <xdr:sp macro="" textlink="">
        <xdr:nvSpPr>
          <xdr:cNvPr id="29" name="Round Same Side Corner Rectangle 28">
            <a:hlinkClick xmlns:r="http://schemas.openxmlformats.org/officeDocument/2006/relationships" r:id="rId7"/>
          </xdr:cNvPr>
          <xdr:cNvSpPr/>
        </xdr:nvSpPr>
        <xdr:spPr bwMode="auto">
          <a:xfrm flipV="1">
            <a:off x="4376342" y="860640"/>
            <a:ext cx="1008470"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FULL FACE GASKET</a:t>
            </a:r>
          </a:p>
        </xdr:txBody>
      </xdr:sp>
      <xdr:sp macro="" textlink="">
        <xdr:nvSpPr>
          <xdr:cNvPr id="30" name="Round Same Side Corner Rectangle 29">
            <a:hlinkClick xmlns:r="http://schemas.openxmlformats.org/officeDocument/2006/relationships" r:id="rId8"/>
          </xdr:cNvPr>
          <xdr:cNvSpPr/>
        </xdr:nvSpPr>
        <xdr:spPr bwMode="auto">
          <a:xfrm flipV="1">
            <a:off x="5475727" y="860640"/>
            <a:ext cx="1005559"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RECTANGULAR GASKET</a:t>
            </a:r>
          </a:p>
        </xdr:txBody>
      </xdr:sp>
      <xdr:sp macro="" textlink="">
        <xdr:nvSpPr>
          <xdr:cNvPr id="31" name="Round Same Side Corner Rectangle 30">
            <a:hlinkClick xmlns:r="http://schemas.openxmlformats.org/officeDocument/2006/relationships" r:id="rId9"/>
          </xdr:cNvPr>
          <xdr:cNvSpPr/>
        </xdr:nvSpPr>
        <xdr:spPr bwMode="auto">
          <a:xfrm flipV="1">
            <a:off x="6563444" y="860640"/>
            <a:ext cx="1008887"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ELLIPTICAL GASKET</a:t>
            </a:r>
          </a:p>
        </xdr:txBody>
      </xdr:sp>
      <xdr:sp macro="" textlink="">
        <xdr:nvSpPr>
          <xdr:cNvPr id="32" name="Round Same Side Corner Rectangle 31">
            <a:hlinkClick xmlns:r="http://schemas.openxmlformats.org/officeDocument/2006/relationships" r:id="rId10"/>
          </xdr:cNvPr>
          <xdr:cNvSpPr/>
        </xdr:nvSpPr>
        <xdr:spPr bwMode="auto">
          <a:xfrm flipV="1">
            <a:off x="7652517" y="860640"/>
            <a:ext cx="1012974"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OBROUND GASKET</a:t>
            </a:r>
          </a:p>
        </xdr:txBody>
      </xdr:sp>
      <xdr:pic>
        <xdr:nvPicPr>
          <xdr:cNvPr id="33" name="Picture 32">
            <a:hlinkClick xmlns:r="http://schemas.openxmlformats.org/officeDocument/2006/relationships" r:id="rId11"/>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62752" y="98615"/>
            <a:ext cx="2096658" cy="575198"/>
          </a:xfrm>
          <a:prstGeom prst="rect">
            <a:avLst/>
          </a:prstGeom>
        </xdr:spPr>
      </xdr:pic>
      <xdr:sp macro="" textlink="">
        <xdr:nvSpPr>
          <xdr:cNvPr id="34" name="Round Same Side Corner Rectangle 33">
            <a:hlinkClick xmlns:r="http://schemas.openxmlformats.org/officeDocument/2006/relationships" r:id="rId13"/>
          </xdr:cNvPr>
          <xdr:cNvSpPr/>
        </xdr:nvSpPr>
        <xdr:spPr bwMode="auto">
          <a:xfrm flipV="1">
            <a:off x="8740616" y="860640"/>
            <a:ext cx="1012974"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BOLT </a:t>
            </a:r>
            <a:r>
              <a:rPr lang="en-US" sz="1100" b="1" baseline="0">
                <a:solidFill>
                  <a:schemeClr val="bg1"/>
                </a:solidFill>
              </a:rPr>
              <a:t>TABLE</a:t>
            </a:r>
            <a:endParaRPr lang="en-US" sz="1100" b="1">
              <a:solidFill>
                <a:schemeClr val="bg1"/>
              </a:solidFill>
            </a:endParaRPr>
          </a:p>
        </xdr:txBody>
      </xdr:sp>
      <xdr:sp macro="" textlink="">
        <xdr:nvSpPr>
          <xdr:cNvPr id="35" name="Rectangle 34"/>
          <xdr:cNvSpPr/>
        </xdr:nvSpPr>
        <xdr:spPr bwMode="auto">
          <a:xfrm>
            <a:off x="0" y="708216"/>
            <a:ext cx="10874188" cy="170330"/>
          </a:xfrm>
          <a:prstGeom prst="rect">
            <a:avLst/>
          </a:prstGeom>
          <a:solidFill>
            <a:srgbClr val="132863"/>
          </a:solidFill>
          <a:ln w="12700"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grpSp>
    <xdr:clientData/>
  </xdr:twoCellAnchor>
  <xdr:twoCellAnchor>
    <xdr:from>
      <xdr:col>10</xdr:col>
      <xdr:colOff>195940</xdr:colOff>
      <xdr:row>5</xdr:row>
      <xdr:rowOff>206188</xdr:rowOff>
    </xdr:from>
    <xdr:to>
      <xdr:col>13</xdr:col>
      <xdr:colOff>98611</xdr:colOff>
      <xdr:row>7</xdr:row>
      <xdr:rowOff>126505</xdr:rowOff>
    </xdr:to>
    <xdr:sp macro="" textlink="">
      <xdr:nvSpPr>
        <xdr:cNvPr id="36" name="Rounded Rectangle 35">
          <a:hlinkClick xmlns:r="http://schemas.openxmlformats.org/officeDocument/2006/relationships" r:id="rId11"/>
        </xdr:cNvPr>
        <xdr:cNvSpPr>
          <a:spLocks/>
        </xdr:cNvSpPr>
      </xdr:nvSpPr>
      <xdr:spPr bwMode="auto">
        <a:xfrm>
          <a:off x="8165564" y="2805953"/>
          <a:ext cx="2502435" cy="431305"/>
        </a:xfrm>
        <a:prstGeom prst="roundRect">
          <a:avLst/>
        </a:prstGeom>
        <a:solidFill>
          <a:srgbClr val="3546E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anchorCtr="0" upright="1"/>
        <a:lstStyle/>
        <a:p>
          <a:pPr algn="ctr"/>
          <a:r>
            <a:rPr lang="en-US" sz="1800" b="1">
              <a:solidFill>
                <a:schemeClr val="bg1"/>
              </a:solidFill>
            </a:rPr>
            <a:t>Garlock.com</a:t>
          </a:r>
        </a:p>
      </xdr:txBody>
    </xdr:sp>
    <xdr:clientData/>
  </xdr:twoCellAnchor>
  <xdr:twoCellAnchor>
    <xdr:from>
      <xdr:col>10</xdr:col>
      <xdr:colOff>195939</xdr:colOff>
      <xdr:row>8</xdr:row>
      <xdr:rowOff>64674</xdr:rowOff>
    </xdr:from>
    <xdr:to>
      <xdr:col>13</xdr:col>
      <xdr:colOff>98610</xdr:colOff>
      <xdr:row>10</xdr:row>
      <xdr:rowOff>180934</xdr:rowOff>
    </xdr:to>
    <xdr:sp macro="" textlink="">
      <xdr:nvSpPr>
        <xdr:cNvPr id="37" name="Rounded Rectangle 36">
          <a:hlinkClick xmlns:r="http://schemas.openxmlformats.org/officeDocument/2006/relationships" r:id="rId14"/>
        </xdr:cNvPr>
        <xdr:cNvSpPr>
          <a:spLocks/>
        </xdr:cNvSpPr>
      </xdr:nvSpPr>
      <xdr:spPr bwMode="auto">
        <a:xfrm>
          <a:off x="8165563" y="3390580"/>
          <a:ext cx="2502435" cy="465883"/>
        </a:xfrm>
        <a:prstGeom prst="roundRect">
          <a:avLst/>
        </a:prstGeom>
        <a:solidFill>
          <a:srgbClr val="3546E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anchorCtr="0" upright="1"/>
        <a:lstStyle/>
        <a:p>
          <a:pPr algn="ctr"/>
          <a:r>
            <a:rPr lang="en-US" sz="1800" b="1">
              <a:solidFill>
                <a:schemeClr val="bg1"/>
              </a:solidFill>
            </a:rPr>
            <a:t>Engineering</a:t>
          </a:r>
          <a:r>
            <a:rPr lang="en-US" sz="1800" b="1" baseline="0">
              <a:solidFill>
                <a:schemeClr val="bg1"/>
              </a:solidFill>
            </a:rPr>
            <a:t> Tools</a:t>
          </a:r>
          <a:endParaRPr lang="en-US" sz="1800" b="1">
            <a:solidFill>
              <a:schemeClr val="bg1"/>
            </a:solidFill>
          </a:endParaRPr>
        </a:p>
      </xdr:txBody>
    </xdr:sp>
    <xdr:clientData/>
  </xdr:twoCellAnchor>
  <xdr:twoCellAnchor>
    <xdr:from>
      <xdr:col>10</xdr:col>
      <xdr:colOff>195939</xdr:colOff>
      <xdr:row>12</xdr:row>
      <xdr:rowOff>74464</xdr:rowOff>
    </xdr:from>
    <xdr:to>
      <xdr:col>13</xdr:col>
      <xdr:colOff>98610</xdr:colOff>
      <xdr:row>15</xdr:row>
      <xdr:rowOff>44726</xdr:rowOff>
    </xdr:to>
    <xdr:sp macro="" textlink="">
      <xdr:nvSpPr>
        <xdr:cNvPr id="38" name="Rounded Rectangle 37">
          <a:hlinkClick xmlns:r="http://schemas.openxmlformats.org/officeDocument/2006/relationships" r:id="rId15"/>
        </xdr:cNvPr>
        <xdr:cNvSpPr>
          <a:spLocks/>
        </xdr:cNvSpPr>
      </xdr:nvSpPr>
      <xdr:spPr bwMode="auto">
        <a:xfrm>
          <a:off x="8165563" y="4027899"/>
          <a:ext cx="2502435" cy="481251"/>
        </a:xfrm>
        <a:prstGeom prst="roundRect">
          <a:avLst/>
        </a:prstGeom>
        <a:solidFill>
          <a:srgbClr val="3546E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anchorCtr="0" upright="1"/>
        <a:lstStyle/>
        <a:p>
          <a:pPr algn="ctr"/>
          <a:r>
            <a:rPr lang="en-US" sz="1800" b="1">
              <a:solidFill>
                <a:schemeClr val="bg1"/>
              </a:solidFill>
              <a:effectLst/>
              <a:latin typeface="+mn-lt"/>
              <a:ea typeface="+mn-ea"/>
              <a:cs typeface="+mn-cs"/>
            </a:rPr>
            <a:t>Installation Instructions</a:t>
          </a:r>
          <a:endParaRPr lang="en-US" sz="1800">
            <a:solidFill>
              <a:schemeClr val="bg1"/>
            </a:solidFill>
            <a:effectLst/>
          </a:endParaRPr>
        </a:p>
      </xdr:txBody>
    </xdr:sp>
    <xdr:clientData/>
  </xdr:twoCellAnchor>
  <xdr:twoCellAnchor>
    <xdr:from>
      <xdr:col>10</xdr:col>
      <xdr:colOff>206827</xdr:colOff>
      <xdr:row>16</xdr:row>
      <xdr:rowOff>196386</xdr:rowOff>
    </xdr:from>
    <xdr:to>
      <xdr:col>13</xdr:col>
      <xdr:colOff>101034</xdr:colOff>
      <xdr:row>18</xdr:row>
      <xdr:rowOff>214674</xdr:rowOff>
    </xdr:to>
    <xdr:sp macro="" textlink="">
      <xdr:nvSpPr>
        <xdr:cNvPr id="39" name="Rounded Rectangle 38">
          <a:hlinkClick xmlns:r="http://schemas.openxmlformats.org/officeDocument/2006/relationships" r:id="rId16"/>
        </xdr:cNvPr>
        <xdr:cNvSpPr>
          <a:spLocks/>
        </xdr:cNvSpPr>
      </xdr:nvSpPr>
      <xdr:spPr bwMode="auto">
        <a:xfrm>
          <a:off x="8176451" y="4705633"/>
          <a:ext cx="2493971" cy="484453"/>
        </a:xfrm>
        <a:prstGeom prst="roundRect">
          <a:avLst/>
        </a:prstGeom>
        <a:solidFill>
          <a:srgbClr val="3546E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anchorCtr="0" upright="1"/>
        <a:lstStyle/>
        <a:p>
          <a:pPr algn="ctr"/>
          <a:r>
            <a:rPr lang="en-US" sz="1800" b="1">
              <a:solidFill>
                <a:schemeClr val="bg1"/>
              </a:solidFill>
            </a:rPr>
            <a:t>Product Selector</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0</xdr:colOff>
      <xdr:row>65537</xdr:row>
      <xdr:rowOff>0</xdr:rowOff>
    </xdr:to>
    <xdr:sp macro="" textlink="">
      <xdr:nvSpPr>
        <xdr:cNvPr id="16448" name="Rectangle 1"/>
        <xdr:cNvSpPr>
          <a:spLocks noChangeArrowheads="1"/>
        </xdr:cNvSpPr>
      </xdr:nvSpPr>
      <xdr:spPr bwMode="auto">
        <a:xfrm>
          <a:off x="0" y="0"/>
          <a:ext cx="0" cy="6600825"/>
        </a:xfrm>
        <a:prstGeom prst="rect">
          <a:avLst/>
        </a:prstGeom>
        <a:gradFill rotWithShape="0">
          <a:gsLst>
            <a:gs pos="0">
              <a:srgbClr val="ADADD6"/>
            </a:gs>
            <a:gs pos="100000">
              <a:srgbClr val="333399"/>
            </a:gs>
          </a:gsLst>
          <a:lin ang="5400000" scaled="1"/>
        </a:gradFill>
        <a:ln>
          <a:noFill/>
        </a:ln>
        <a:extLst>
          <a:ext uri="{91240B29-F687-4F45-9708-019B960494DF}">
            <a14:hiddenLine xmlns:a14="http://schemas.microsoft.com/office/drawing/2010/main" w="38100" cmpd="dbl">
              <a:solidFill>
                <a:srgbClr val="000000"/>
              </a:solidFill>
              <a:miter lim="800000"/>
              <a:headEnd/>
              <a:tailEnd/>
            </a14:hiddenLine>
          </a:ext>
        </a:extLst>
      </xdr:spPr>
    </xdr:sp>
    <xdr:clientData/>
  </xdr:twoCellAnchor>
  <xdr:twoCellAnchor>
    <xdr:from>
      <xdr:col>0</xdr:col>
      <xdr:colOff>0</xdr:colOff>
      <xdr:row>65537</xdr:row>
      <xdr:rowOff>0</xdr:rowOff>
    </xdr:from>
    <xdr:to>
      <xdr:col>0</xdr:col>
      <xdr:colOff>0</xdr:colOff>
      <xdr:row>65537</xdr:row>
      <xdr:rowOff>0</xdr:rowOff>
    </xdr:to>
    <xdr:sp macro="" textlink="">
      <xdr:nvSpPr>
        <xdr:cNvPr id="16405" name="Text Box 21">
          <a:hlinkClick xmlns:r="http://schemas.openxmlformats.org/officeDocument/2006/relationships" r:id="rId1"/>
        </xdr:cNvPr>
        <xdr:cNvSpPr txBox="1">
          <a:spLocks noChangeArrowheads="1"/>
        </xdr:cNvSpPr>
      </xdr:nvSpPr>
      <xdr:spPr bwMode="auto">
        <a:xfrm>
          <a:off x="0" y="6600825"/>
          <a:ext cx="0" cy="0"/>
        </a:xfrm>
        <a:prstGeom prst="rect">
          <a:avLst/>
        </a:prstGeom>
        <a:noFill/>
        <a:ln w="38100" cmpd="dbl">
          <a:noFill/>
          <a:miter lim="800000"/>
          <a:headEnd/>
          <a:tailEnd/>
        </a:ln>
        <a:effectLst/>
      </xdr:spPr>
      <xdr:txBody>
        <a:bodyPr vertOverflow="clip" wrap="square" lIns="27432" tIns="27432" rIns="0" bIns="0" anchor="t" upright="1"/>
        <a:lstStyle/>
        <a:p>
          <a:pPr algn="l" rtl="0">
            <a:defRPr sz="1000"/>
          </a:pPr>
          <a:r>
            <a:rPr lang="en-US" sz="1100" b="1" i="0" u="none" strike="noStrike" baseline="0">
              <a:solidFill>
                <a:srgbClr val="FFFFFF"/>
              </a:solidFill>
              <a:latin typeface="Arial"/>
              <a:cs typeface="Arial"/>
            </a:rPr>
            <a:t>HOME PAGE</a:t>
          </a:r>
        </a:p>
      </xdr:txBody>
    </xdr:sp>
    <xdr:clientData/>
  </xdr:twoCellAnchor>
  <xdr:twoCellAnchor>
    <xdr:from>
      <xdr:col>0</xdr:col>
      <xdr:colOff>0</xdr:colOff>
      <xdr:row>29</xdr:row>
      <xdr:rowOff>57150</xdr:rowOff>
    </xdr:from>
    <xdr:to>
      <xdr:col>0</xdr:col>
      <xdr:colOff>0</xdr:colOff>
      <xdr:row>65537</xdr:row>
      <xdr:rowOff>0</xdr:rowOff>
    </xdr:to>
    <xdr:sp macro="" textlink="">
      <xdr:nvSpPr>
        <xdr:cNvPr id="16410" name="Rectangle 26">
          <a:hlinkClick xmlns:r="http://schemas.openxmlformats.org/officeDocument/2006/relationships" r:id="rId2"/>
        </xdr:cNvPr>
        <xdr:cNvSpPr>
          <a:spLocks noChangeArrowheads="1"/>
        </xdr:cNvSpPr>
      </xdr:nvSpPr>
      <xdr:spPr bwMode="auto">
        <a:xfrm>
          <a:off x="0" y="5172075"/>
          <a:ext cx="0" cy="1428750"/>
        </a:xfrm>
        <a:prstGeom prst="rect">
          <a:avLst/>
        </a:prstGeom>
        <a:noFill/>
        <a:ln w="38100" cmpd="dbl">
          <a:noFill/>
          <a:miter lim="800000"/>
          <a:headEnd/>
          <a:tailEnd/>
        </a:ln>
        <a:effectLst/>
      </xdr:spPr>
      <xdr:txBody>
        <a:bodyPr vertOverflow="clip" wrap="square" lIns="27432" tIns="27432" rIns="0" bIns="0" anchor="t" upright="1"/>
        <a:lstStyle/>
        <a:p>
          <a:pPr algn="l" rtl="0">
            <a:defRPr sz="1000"/>
          </a:pPr>
          <a:r>
            <a:rPr lang="en-US" sz="1100" b="1" i="0" u="none" strike="noStrike" baseline="0">
              <a:solidFill>
                <a:srgbClr val="FFFFFF"/>
              </a:solidFill>
              <a:latin typeface="Arial"/>
              <a:cs typeface="Arial"/>
            </a:rPr>
            <a:t>"Race Track"  Gaskets</a:t>
          </a:r>
        </a:p>
      </xdr:txBody>
    </xdr:sp>
    <xdr:clientData/>
  </xdr:twoCellAnchor>
  <xdr:twoCellAnchor>
    <xdr:from>
      <xdr:col>0</xdr:col>
      <xdr:colOff>0</xdr:colOff>
      <xdr:row>65537</xdr:row>
      <xdr:rowOff>0</xdr:rowOff>
    </xdr:from>
    <xdr:to>
      <xdr:col>0</xdr:col>
      <xdr:colOff>0</xdr:colOff>
      <xdr:row>65537</xdr:row>
      <xdr:rowOff>0</xdr:rowOff>
    </xdr:to>
    <xdr:sp macro="" textlink="">
      <xdr:nvSpPr>
        <xdr:cNvPr id="16411" name="Rectangle 27">
          <a:hlinkClick xmlns:r="http://schemas.openxmlformats.org/officeDocument/2006/relationships" r:id="rId3"/>
        </xdr:cNvPr>
        <xdr:cNvSpPr>
          <a:spLocks noChangeArrowheads="1"/>
        </xdr:cNvSpPr>
      </xdr:nvSpPr>
      <xdr:spPr bwMode="auto">
        <a:xfrm>
          <a:off x="0" y="6600825"/>
          <a:ext cx="0" cy="0"/>
        </a:xfrm>
        <a:prstGeom prst="rect">
          <a:avLst/>
        </a:prstGeom>
        <a:noFill/>
        <a:ln w="38100" cmpd="dbl">
          <a:noFill/>
          <a:miter lim="800000"/>
          <a:headEnd/>
          <a:tailEnd/>
        </a:ln>
        <a:effectLst/>
      </xdr:spPr>
      <xdr:txBody>
        <a:bodyPr vertOverflow="clip" wrap="square" lIns="27432" tIns="27432" rIns="0" bIns="0" anchor="t" upright="1"/>
        <a:lstStyle/>
        <a:p>
          <a:pPr algn="l" rtl="0">
            <a:defRPr sz="1000"/>
          </a:pPr>
          <a:r>
            <a:rPr lang="en-US" sz="1100" b="1" i="0" u="none" strike="noStrike" baseline="0">
              <a:solidFill>
                <a:srgbClr val="FFFFFF"/>
              </a:solidFill>
              <a:latin typeface="Arial"/>
              <a:cs typeface="Arial"/>
            </a:rPr>
            <a:t>"Race Track"  Gasket</a:t>
          </a:r>
        </a:p>
        <a:p>
          <a:pPr algn="l" rtl="0">
            <a:defRPr sz="1000"/>
          </a:pPr>
          <a:r>
            <a:rPr lang="en-US" sz="1100" b="1" i="0" u="none" strike="noStrike" baseline="0">
              <a:solidFill>
                <a:srgbClr val="FFFFFF"/>
              </a:solidFill>
              <a:latin typeface="Arial"/>
              <a:cs typeface="Arial"/>
            </a:rPr>
            <a:t>Diagram</a:t>
          </a:r>
        </a:p>
      </xdr:txBody>
    </xdr:sp>
    <xdr:clientData/>
  </xdr:twoCellAnchor>
  <xdr:twoCellAnchor>
    <xdr:from>
      <xdr:col>0</xdr:col>
      <xdr:colOff>0</xdr:colOff>
      <xdr:row>65537</xdr:row>
      <xdr:rowOff>0</xdr:rowOff>
    </xdr:from>
    <xdr:to>
      <xdr:col>0</xdr:col>
      <xdr:colOff>0</xdr:colOff>
      <xdr:row>65537</xdr:row>
      <xdr:rowOff>0</xdr:rowOff>
    </xdr:to>
    <xdr:sp macro="" textlink="">
      <xdr:nvSpPr>
        <xdr:cNvPr id="16474" name="Oval 28">
          <a:hlinkClick xmlns:r="http://schemas.openxmlformats.org/officeDocument/2006/relationships" r:id="rId3"/>
        </xdr:cNvPr>
        <xdr:cNvSpPr>
          <a:spLocks noChangeArrowheads="1"/>
        </xdr:cNvSpPr>
      </xdr:nvSpPr>
      <xdr:spPr bwMode="auto">
        <a:xfrm>
          <a:off x="0" y="6600825"/>
          <a:ext cx="0" cy="0"/>
        </a:xfrm>
        <a:prstGeom prst="ellipse">
          <a:avLst/>
        </a:prstGeom>
        <a:gradFill rotWithShape="0">
          <a:gsLst>
            <a:gs pos="0">
              <a:srgbClr val="FFFFFF"/>
            </a:gs>
            <a:gs pos="100000">
              <a:srgbClr val="333399"/>
            </a:gs>
          </a:gsLst>
          <a:path path="shape">
            <a:fillToRect l="50000" t="50000" r="50000" b="50000"/>
          </a:path>
        </a:gradFill>
        <a:ln>
          <a:noFill/>
        </a:ln>
        <a:extLst>
          <a:ext uri="{91240B29-F687-4F45-9708-019B960494DF}">
            <a14:hiddenLine xmlns:a14="http://schemas.microsoft.com/office/drawing/2010/main" w="38100" cmpd="dbl">
              <a:solidFill>
                <a:srgbClr val="000000"/>
              </a:solidFill>
              <a:round/>
              <a:headEnd/>
              <a:tailEnd/>
            </a14:hiddenLine>
          </a:ext>
        </a:extLst>
      </xdr:spPr>
    </xdr:sp>
    <xdr:clientData/>
  </xdr:twoCellAnchor>
  <xdr:twoCellAnchor>
    <xdr:from>
      <xdr:col>0</xdr:col>
      <xdr:colOff>0</xdr:colOff>
      <xdr:row>65537</xdr:row>
      <xdr:rowOff>0</xdr:rowOff>
    </xdr:from>
    <xdr:to>
      <xdr:col>0</xdr:col>
      <xdr:colOff>0</xdr:colOff>
      <xdr:row>65537</xdr:row>
      <xdr:rowOff>0</xdr:rowOff>
    </xdr:to>
    <xdr:sp macro="" textlink="">
      <xdr:nvSpPr>
        <xdr:cNvPr id="16414" name="Rectangle 30">
          <a:hlinkClick xmlns:r="http://schemas.openxmlformats.org/officeDocument/2006/relationships" r:id="rId4"/>
        </xdr:cNvPr>
        <xdr:cNvSpPr>
          <a:spLocks noChangeArrowheads="1"/>
        </xdr:cNvSpPr>
      </xdr:nvSpPr>
      <xdr:spPr bwMode="auto">
        <a:xfrm>
          <a:off x="0" y="6600825"/>
          <a:ext cx="0" cy="0"/>
        </a:xfrm>
        <a:prstGeom prst="rect">
          <a:avLst/>
        </a:prstGeom>
        <a:noFill/>
        <a:ln w="38100" cmpd="dbl">
          <a:noFill/>
          <a:miter lim="800000"/>
          <a:headEnd/>
          <a:tailEnd/>
        </a:ln>
        <a:effectLst/>
      </xdr:spPr>
      <xdr:txBody>
        <a:bodyPr vertOverflow="clip" wrap="square" lIns="27432" tIns="27432" rIns="0" bIns="0" anchor="t" upright="1"/>
        <a:lstStyle/>
        <a:p>
          <a:pPr algn="l" rtl="0">
            <a:defRPr sz="1000"/>
          </a:pPr>
          <a:r>
            <a:rPr lang="en-US" sz="1100" b="1" i="0" u="none" strike="noStrike" baseline="0">
              <a:solidFill>
                <a:srgbClr val="FFFFFF"/>
              </a:solidFill>
              <a:latin typeface="Arial"/>
              <a:cs typeface="Arial"/>
            </a:rPr>
            <a:t>Table 1</a:t>
          </a:r>
        </a:p>
      </xdr:txBody>
    </xdr:sp>
    <xdr:clientData/>
  </xdr:twoCellAnchor>
  <xdr:twoCellAnchor>
    <xdr:from>
      <xdr:col>0</xdr:col>
      <xdr:colOff>0</xdr:colOff>
      <xdr:row>65537</xdr:row>
      <xdr:rowOff>0</xdr:rowOff>
    </xdr:from>
    <xdr:to>
      <xdr:col>0</xdr:col>
      <xdr:colOff>0</xdr:colOff>
      <xdr:row>65537</xdr:row>
      <xdr:rowOff>0</xdr:rowOff>
    </xdr:to>
    <xdr:sp macro="" textlink="">
      <xdr:nvSpPr>
        <xdr:cNvPr id="16477" name="Oval 31">
          <a:hlinkClick xmlns:r="http://schemas.openxmlformats.org/officeDocument/2006/relationships" r:id="rId4"/>
        </xdr:cNvPr>
        <xdr:cNvSpPr>
          <a:spLocks noChangeArrowheads="1"/>
        </xdr:cNvSpPr>
      </xdr:nvSpPr>
      <xdr:spPr bwMode="auto">
        <a:xfrm>
          <a:off x="0" y="6600825"/>
          <a:ext cx="0" cy="0"/>
        </a:xfrm>
        <a:prstGeom prst="ellipse">
          <a:avLst/>
        </a:prstGeom>
        <a:gradFill rotWithShape="0">
          <a:gsLst>
            <a:gs pos="0">
              <a:srgbClr val="FFFFFF"/>
            </a:gs>
            <a:gs pos="100000">
              <a:srgbClr val="333399"/>
            </a:gs>
          </a:gsLst>
          <a:path path="shape">
            <a:fillToRect l="50000" t="50000" r="50000" b="50000"/>
          </a:path>
        </a:gradFill>
        <a:ln>
          <a:noFill/>
        </a:ln>
        <a:extLst>
          <a:ext uri="{91240B29-F687-4F45-9708-019B960494DF}">
            <a14:hiddenLine xmlns:a14="http://schemas.microsoft.com/office/drawing/2010/main" w="38100" cmpd="dbl">
              <a:solidFill>
                <a:srgbClr val="000000"/>
              </a:solidFill>
              <a:round/>
              <a:headEnd/>
              <a:tailEnd/>
            </a14:hiddenLine>
          </a:ext>
        </a:extLst>
      </xdr:spPr>
    </xdr:sp>
    <xdr:clientData/>
  </xdr:twoCellAnchor>
  <xdr:twoCellAnchor>
    <xdr:from>
      <xdr:col>0</xdr:col>
      <xdr:colOff>0</xdr:colOff>
      <xdr:row>0</xdr:row>
      <xdr:rowOff>89650</xdr:rowOff>
    </xdr:from>
    <xdr:to>
      <xdr:col>10</xdr:col>
      <xdr:colOff>44823</xdr:colOff>
      <xdr:row>0</xdr:row>
      <xdr:rowOff>1287958</xdr:rowOff>
    </xdr:to>
    <xdr:grpSp>
      <xdr:nvGrpSpPr>
        <xdr:cNvPr id="3" name="Group 2"/>
        <xdr:cNvGrpSpPr/>
      </xdr:nvGrpSpPr>
      <xdr:grpSpPr>
        <a:xfrm>
          <a:off x="0" y="89650"/>
          <a:ext cx="10874188" cy="1198308"/>
          <a:chOff x="0" y="89650"/>
          <a:chExt cx="10874188" cy="1198308"/>
        </a:xfrm>
      </xdr:grpSpPr>
      <xdr:sp macro="" textlink="">
        <xdr:nvSpPr>
          <xdr:cNvPr id="52" name="Round Same Side Corner Rectangle 51">
            <a:hlinkClick xmlns:r="http://schemas.openxmlformats.org/officeDocument/2006/relationships" r:id="rId5"/>
          </xdr:cNvPr>
          <xdr:cNvSpPr/>
        </xdr:nvSpPr>
        <xdr:spPr bwMode="auto">
          <a:xfrm flipV="1">
            <a:off x="9834319" y="851649"/>
            <a:ext cx="1012974"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TECHNICAL</a:t>
            </a:r>
            <a:r>
              <a:rPr lang="en-US" sz="1100" b="1" baseline="0">
                <a:solidFill>
                  <a:schemeClr val="bg1"/>
                </a:solidFill>
              </a:rPr>
              <a:t> SUPPORT</a:t>
            </a:r>
            <a:endParaRPr lang="en-US" sz="1100" b="1">
              <a:solidFill>
                <a:schemeClr val="bg1"/>
              </a:solidFill>
            </a:endParaRPr>
          </a:p>
        </xdr:txBody>
      </xdr:sp>
      <xdr:sp macro="" textlink="">
        <xdr:nvSpPr>
          <xdr:cNvPr id="53" name="Round Same Side Corner Rectangle 52">
            <a:hlinkClick xmlns:r="http://schemas.openxmlformats.org/officeDocument/2006/relationships" r:id="rId6"/>
          </xdr:cNvPr>
          <xdr:cNvSpPr/>
        </xdr:nvSpPr>
        <xdr:spPr bwMode="auto">
          <a:xfrm flipV="1">
            <a:off x="1" y="851675"/>
            <a:ext cx="1008471"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HOME</a:t>
            </a:r>
          </a:p>
        </xdr:txBody>
      </xdr:sp>
      <xdr:sp macro="" textlink="">
        <xdr:nvSpPr>
          <xdr:cNvPr id="54" name="WordArt 53"/>
          <xdr:cNvSpPr>
            <a:spLocks noChangeArrowheads="1" noChangeShapeType="1" noTextEdit="1"/>
          </xdr:cNvSpPr>
        </xdr:nvSpPr>
        <xdr:spPr bwMode="auto">
          <a:xfrm>
            <a:off x="6947646" y="188260"/>
            <a:ext cx="3729319" cy="286871"/>
          </a:xfrm>
          <a:prstGeom prst="rect">
            <a:avLst/>
          </a:prstGeom>
        </xdr:spPr>
        <xdr:txBody>
          <a:bodyPr wrap="none" fromWordArt="1">
            <a:prstTxWarp prst="textPlain">
              <a:avLst>
                <a:gd name="adj" fmla="val 50000"/>
              </a:avLst>
            </a:prstTxWarp>
          </a:bodyPr>
          <a:lstStyle/>
          <a:p>
            <a:pPr algn="ctr" rtl="0"/>
            <a:r>
              <a:rPr lang="en-US" sz="4800" b="0" i="1" kern="10" spc="0">
                <a:ln w="9525">
                  <a:solidFill>
                    <a:schemeClr val="tx1"/>
                  </a:solidFill>
                  <a:round/>
                  <a:headEnd/>
                  <a:tailEnd/>
                </a:ln>
                <a:gradFill flip="none" rotWithShape="1">
                  <a:gsLst>
                    <a:gs pos="0">
                      <a:srgbClr val="FFFFFF"/>
                    </a:gs>
                    <a:gs pos="7001">
                      <a:srgbClr val="E6E6E6"/>
                    </a:gs>
                    <a:gs pos="32001">
                      <a:schemeClr val="bg1">
                        <a:lumMod val="75000"/>
                      </a:schemeClr>
                    </a:gs>
                    <a:gs pos="47000">
                      <a:srgbClr val="E6E6E6"/>
                    </a:gs>
                    <a:gs pos="85001">
                      <a:schemeClr val="bg1">
                        <a:lumMod val="75000"/>
                      </a:schemeClr>
                    </a:gs>
                    <a:gs pos="100000">
                      <a:srgbClr val="E6E6E6"/>
                    </a:gs>
                  </a:gsLst>
                  <a:lin ang="2700000" scaled="1"/>
                  <a:tileRect/>
                </a:gradFill>
                <a:effectLst>
                  <a:outerShdw dist="35921" dir="2700000" algn="ctr" rotWithShape="0">
                    <a:srgbClr val="000000"/>
                  </a:outerShdw>
                </a:effectLst>
                <a:latin typeface="Impact" panose="020B0806030902050204" pitchFamily="34" charset="0"/>
              </a:rPr>
              <a:t>Gasket Calculator 6.0</a:t>
            </a:r>
          </a:p>
        </xdr:txBody>
      </xdr:sp>
      <xdr:sp macro="" textlink="">
        <xdr:nvSpPr>
          <xdr:cNvPr id="55" name="Round Same Side Corner Rectangle 54">
            <a:hlinkClick xmlns:r="http://schemas.openxmlformats.org/officeDocument/2006/relationships" r:id="rId7"/>
          </xdr:cNvPr>
          <xdr:cNvSpPr/>
        </xdr:nvSpPr>
        <xdr:spPr bwMode="auto">
          <a:xfrm flipV="1">
            <a:off x="1093731" y="851675"/>
            <a:ext cx="1008471"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QUICK</a:t>
            </a:r>
            <a:r>
              <a:rPr lang="en-US" sz="1100" b="1" baseline="0">
                <a:solidFill>
                  <a:schemeClr val="bg1"/>
                </a:solidFill>
              </a:rPr>
              <a:t> </a:t>
            </a:r>
            <a:r>
              <a:rPr lang="en-US" sz="1100" b="1">
                <a:solidFill>
                  <a:schemeClr val="bg1"/>
                </a:solidFill>
              </a:rPr>
              <a:t>TORQUE</a:t>
            </a:r>
          </a:p>
        </xdr:txBody>
      </xdr:sp>
      <xdr:sp macro="" textlink="">
        <xdr:nvSpPr>
          <xdr:cNvPr id="56" name="Round Same Side Corner Rectangle 55">
            <a:hlinkClick xmlns:r="http://schemas.openxmlformats.org/officeDocument/2006/relationships" r:id="rId8"/>
          </xdr:cNvPr>
          <xdr:cNvSpPr/>
        </xdr:nvSpPr>
        <xdr:spPr bwMode="auto">
          <a:xfrm flipV="1">
            <a:off x="2187806" y="851675"/>
            <a:ext cx="1010967"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G.S.T.</a:t>
            </a:r>
          </a:p>
        </xdr:txBody>
      </xdr:sp>
      <xdr:sp macro="" textlink="">
        <xdr:nvSpPr>
          <xdr:cNvPr id="57" name="Round Same Side Corner Rectangle 56">
            <a:hlinkClick xmlns:r="http://schemas.openxmlformats.org/officeDocument/2006/relationships" r:id="rId9"/>
          </xdr:cNvPr>
          <xdr:cNvSpPr/>
        </xdr:nvSpPr>
        <xdr:spPr bwMode="auto">
          <a:xfrm flipV="1">
            <a:off x="3283588" y="851675"/>
            <a:ext cx="1008054"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RING</a:t>
            </a:r>
            <a:r>
              <a:rPr lang="en-US" sz="1100" b="1" baseline="0">
                <a:solidFill>
                  <a:schemeClr val="bg1"/>
                </a:solidFill>
              </a:rPr>
              <a:t> GASKET</a:t>
            </a:r>
            <a:endParaRPr lang="en-US" sz="1100" b="1">
              <a:solidFill>
                <a:schemeClr val="bg1"/>
              </a:solidFill>
            </a:endParaRPr>
          </a:p>
        </xdr:txBody>
      </xdr:sp>
      <xdr:sp macro="" textlink="">
        <xdr:nvSpPr>
          <xdr:cNvPr id="58" name="Round Same Side Corner Rectangle 57">
            <a:hlinkClick xmlns:r="http://schemas.openxmlformats.org/officeDocument/2006/relationships" r:id="rId10"/>
          </xdr:cNvPr>
          <xdr:cNvSpPr/>
        </xdr:nvSpPr>
        <xdr:spPr bwMode="auto">
          <a:xfrm flipV="1">
            <a:off x="4376342" y="851675"/>
            <a:ext cx="1008470"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FULL FACE GASKET</a:t>
            </a:r>
          </a:p>
        </xdr:txBody>
      </xdr:sp>
      <xdr:sp macro="" textlink="">
        <xdr:nvSpPr>
          <xdr:cNvPr id="59" name="Round Same Side Corner Rectangle 58">
            <a:hlinkClick xmlns:r="http://schemas.openxmlformats.org/officeDocument/2006/relationships" r:id="rId11"/>
          </xdr:cNvPr>
          <xdr:cNvSpPr/>
        </xdr:nvSpPr>
        <xdr:spPr bwMode="auto">
          <a:xfrm flipV="1">
            <a:off x="5475727" y="851675"/>
            <a:ext cx="1005559"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RECTANGULAR GASKET</a:t>
            </a:r>
          </a:p>
        </xdr:txBody>
      </xdr:sp>
      <xdr:sp macro="" textlink="">
        <xdr:nvSpPr>
          <xdr:cNvPr id="60" name="Round Same Side Corner Rectangle 59">
            <a:hlinkClick xmlns:r="http://schemas.openxmlformats.org/officeDocument/2006/relationships" r:id="rId12"/>
          </xdr:cNvPr>
          <xdr:cNvSpPr/>
        </xdr:nvSpPr>
        <xdr:spPr bwMode="auto">
          <a:xfrm flipV="1">
            <a:off x="6563444" y="851675"/>
            <a:ext cx="1008887"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ELLIPTICAL GASKET</a:t>
            </a:r>
          </a:p>
        </xdr:txBody>
      </xdr:sp>
      <xdr:sp macro="" textlink="">
        <xdr:nvSpPr>
          <xdr:cNvPr id="61" name="Round Same Side Corner Rectangle 60">
            <a:hlinkClick xmlns:r="http://schemas.openxmlformats.org/officeDocument/2006/relationships" r:id="rId13"/>
          </xdr:cNvPr>
          <xdr:cNvSpPr/>
        </xdr:nvSpPr>
        <xdr:spPr bwMode="auto">
          <a:xfrm flipV="1">
            <a:off x="7652517" y="851675"/>
            <a:ext cx="1012974"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OBROUND GASKET</a:t>
            </a:r>
          </a:p>
        </xdr:txBody>
      </xdr:sp>
      <xdr:pic>
        <xdr:nvPicPr>
          <xdr:cNvPr id="62" name="Picture 61">
            <a:hlinkClick xmlns:r="http://schemas.openxmlformats.org/officeDocument/2006/relationships" r:id="rId14"/>
          </xdr:cNvPr>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62752" y="89650"/>
            <a:ext cx="2096658" cy="575198"/>
          </a:xfrm>
          <a:prstGeom prst="rect">
            <a:avLst/>
          </a:prstGeom>
        </xdr:spPr>
      </xdr:pic>
      <xdr:sp macro="" textlink="">
        <xdr:nvSpPr>
          <xdr:cNvPr id="63" name="Round Same Side Corner Rectangle 62">
            <a:hlinkClick xmlns:r="http://schemas.openxmlformats.org/officeDocument/2006/relationships" r:id="rId16"/>
          </xdr:cNvPr>
          <xdr:cNvSpPr/>
        </xdr:nvSpPr>
        <xdr:spPr bwMode="auto">
          <a:xfrm flipV="1">
            <a:off x="8740616" y="851675"/>
            <a:ext cx="1012974" cy="436283"/>
          </a:xfrm>
          <a:prstGeom prst="round2SameRect">
            <a:avLst/>
          </a:prstGeom>
          <a:solidFill>
            <a:srgbClr val="132863"/>
          </a:solidFill>
          <a:ln w="12700"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horzOverflow="clip" wrap="square" lIns="18288" tIns="0" rIns="0" bIns="0" rtlCol="0" anchor="ctr" upright="1"/>
          <a:lstStyle/>
          <a:p>
            <a:pPr algn="ctr"/>
            <a:r>
              <a:rPr lang="en-US" sz="1100" b="1">
                <a:solidFill>
                  <a:schemeClr val="bg1"/>
                </a:solidFill>
              </a:rPr>
              <a:t>BOLT </a:t>
            </a:r>
            <a:r>
              <a:rPr lang="en-US" sz="1100" b="1" baseline="0">
                <a:solidFill>
                  <a:schemeClr val="bg1"/>
                </a:solidFill>
              </a:rPr>
              <a:t>TABLE</a:t>
            </a:r>
            <a:endParaRPr lang="en-US" sz="1100" b="1">
              <a:solidFill>
                <a:schemeClr val="bg1"/>
              </a:solidFill>
            </a:endParaRPr>
          </a:p>
        </xdr:txBody>
      </xdr:sp>
      <xdr:sp macro="" textlink="">
        <xdr:nvSpPr>
          <xdr:cNvPr id="64" name="Rectangle 63"/>
          <xdr:cNvSpPr/>
        </xdr:nvSpPr>
        <xdr:spPr bwMode="auto">
          <a:xfrm>
            <a:off x="0" y="699251"/>
            <a:ext cx="10874188" cy="170330"/>
          </a:xfrm>
          <a:prstGeom prst="rect">
            <a:avLst/>
          </a:prstGeom>
          <a:solidFill>
            <a:srgbClr val="132863"/>
          </a:solidFill>
          <a:ln w="12700"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12700"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12700"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102"/>
  <sheetViews>
    <sheetView showGridLines="0" showRowColHeaders="0" tabSelected="1" zoomScale="85" zoomScaleNormal="85" workbookViewId="0">
      <pane ySplit="1" topLeftCell="A2" activePane="bottomLeft" state="frozen"/>
      <selection pane="bottomLeft" activeCell="A2" sqref="A2"/>
    </sheetView>
  </sheetViews>
  <sheetFormatPr defaultColWidth="0" defaultRowHeight="13.2" x14ac:dyDescent="0.25"/>
  <cols>
    <col min="1" max="1" width="3.5546875" style="7" customWidth="1"/>
    <col min="2" max="3" width="12.6640625" style="7" customWidth="1"/>
    <col min="4" max="4" width="10.6640625" style="7" customWidth="1"/>
    <col min="5" max="5" width="16.6640625" style="7" customWidth="1"/>
    <col min="6" max="9" width="12.6640625" style="7" customWidth="1"/>
    <col min="10" max="10" width="9.109375" style="7" customWidth="1"/>
    <col min="11" max="11" width="2.109375" style="7" customWidth="1"/>
    <col min="12" max="14" width="9.109375" style="7" customWidth="1"/>
    <col min="15" max="15" width="12.77734375" style="7" customWidth="1"/>
    <col min="16" max="16384" width="9.109375" style="7" hidden="1"/>
  </cols>
  <sheetData>
    <row r="1" spans="1:15" ht="108" customHeight="1" x14ac:dyDescent="0.25"/>
    <row r="2" spans="1:15" ht="16.95" customHeight="1" x14ac:dyDescent="0.25"/>
    <row r="3" spans="1:15" ht="16.95" customHeight="1" x14ac:dyDescent="0.25">
      <c r="O3" s="291"/>
    </row>
    <row r="4" spans="1:15" ht="20.100000000000001" customHeight="1" x14ac:dyDescent="0.25">
      <c r="O4" s="291"/>
    </row>
    <row r="5" spans="1:15" ht="20.100000000000001" customHeight="1" x14ac:dyDescent="0.4">
      <c r="J5" s="292"/>
    </row>
    <row r="6" spans="1:15" ht="29.25" customHeight="1" x14ac:dyDescent="0.25">
      <c r="A6" s="293"/>
      <c r="B6" s="293"/>
      <c r="C6" s="293"/>
      <c r="D6" s="293"/>
      <c r="E6" s="293"/>
      <c r="F6" s="293"/>
      <c r="G6" s="293"/>
      <c r="H6" s="293"/>
      <c r="I6" s="293"/>
    </row>
    <row r="7" spans="1:15" ht="3.75" customHeight="1" x14ac:dyDescent="0.25">
      <c r="A7" s="293"/>
      <c r="B7" s="293"/>
      <c r="C7" s="293"/>
      <c r="D7" s="293"/>
      <c r="E7" s="293"/>
      <c r="F7" s="293"/>
      <c r="G7" s="293"/>
      <c r="H7" s="293"/>
      <c r="I7" s="293"/>
      <c r="J7" s="294"/>
      <c r="L7" s="295"/>
    </row>
    <row r="8" spans="1:15" ht="39.9" customHeight="1" x14ac:dyDescent="0.25">
      <c r="A8" s="293"/>
      <c r="B8" s="293"/>
      <c r="C8" s="293"/>
      <c r="D8" s="293"/>
      <c r="E8" s="293"/>
      <c r="F8" s="293"/>
      <c r="G8" s="293"/>
      <c r="H8" s="293"/>
      <c r="I8" s="293"/>
      <c r="J8" s="294"/>
      <c r="L8" s="296"/>
    </row>
    <row r="9" spans="1:15" ht="3.75" customHeight="1" x14ac:dyDescent="0.25">
      <c r="A9" s="293"/>
      <c r="B9" s="293"/>
      <c r="C9" s="293"/>
      <c r="D9" s="293"/>
      <c r="E9" s="293"/>
      <c r="F9" s="293"/>
      <c r="G9" s="293"/>
      <c r="H9" s="293"/>
      <c r="I9" s="293"/>
      <c r="J9" s="294"/>
      <c r="L9" s="295"/>
    </row>
    <row r="10" spans="1:15" ht="39.9" customHeight="1" x14ac:dyDescent="0.25">
      <c r="A10" s="293"/>
      <c r="B10" s="293"/>
      <c r="C10" s="293"/>
      <c r="D10" s="293"/>
      <c r="E10" s="293"/>
      <c r="F10" s="293"/>
      <c r="G10" s="293"/>
      <c r="H10" s="293"/>
      <c r="I10" s="293"/>
      <c r="J10" s="297"/>
      <c r="L10" s="295"/>
    </row>
    <row r="11" spans="1:15" ht="3.75" customHeight="1" x14ac:dyDescent="0.25">
      <c r="A11" s="293"/>
      <c r="B11" s="293"/>
      <c r="C11" s="293"/>
      <c r="D11" s="293"/>
      <c r="E11" s="293"/>
      <c r="F11" s="293"/>
      <c r="G11" s="293"/>
      <c r="H11" s="293"/>
      <c r="I11" s="293"/>
      <c r="J11" s="294"/>
      <c r="L11" s="295"/>
    </row>
    <row r="12" spans="1:15" ht="39.9" customHeight="1" x14ac:dyDescent="0.25">
      <c r="A12" s="293"/>
      <c r="B12" s="293"/>
      <c r="C12" s="293"/>
      <c r="D12" s="293"/>
      <c r="E12" s="293"/>
      <c r="F12" s="293"/>
      <c r="G12" s="293"/>
      <c r="H12" s="293"/>
      <c r="I12" s="293"/>
      <c r="J12" s="297"/>
      <c r="L12" s="295"/>
    </row>
    <row r="13" spans="1:15" ht="3.75" customHeight="1" x14ac:dyDescent="0.25">
      <c r="A13" s="293"/>
      <c r="B13" s="293"/>
      <c r="C13" s="293"/>
      <c r="D13" s="293"/>
      <c r="E13" s="298"/>
      <c r="F13" s="293"/>
      <c r="G13" s="293"/>
      <c r="H13" s="293"/>
      <c r="I13" s="293"/>
      <c r="J13" s="294"/>
      <c r="L13" s="295"/>
    </row>
    <row r="14" spans="1:15" ht="39.9" customHeight="1" x14ac:dyDescent="0.25">
      <c r="A14" s="293"/>
      <c r="B14" s="293"/>
      <c r="C14" s="293"/>
      <c r="D14" s="293"/>
      <c r="E14" s="293"/>
      <c r="F14" s="293"/>
      <c r="G14" s="293"/>
      <c r="H14" s="293"/>
      <c r="I14" s="293"/>
      <c r="J14" s="297"/>
      <c r="L14" s="295"/>
    </row>
    <row r="15" spans="1:15" ht="3.75" customHeight="1" x14ac:dyDescent="0.25">
      <c r="A15" s="293"/>
      <c r="B15" s="293"/>
      <c r="C15" s="293"/>
      <c r="D15" s="293"/>
      <c r="E15" s="293"/>
      <c r="F15" s="293"/>
      <c r="G15" s="293"/>
      <c r="H15" s="293"/>
      <c r="I15" s="293"/>
      <c r="J15" s="294"/>
      <c r="L15" s="295"/>
    </row>
    <row r="16" spans="1:15" ht="39.9" customHeight="1" x14ac:dyDescent="0.25">
      <c r="A16" s="293"/>
      <c r="B16" s="293"/>
      <c r="C16" s="293"/>
      <c r="D16" s="293"/>
      <c r="E16" s="293"/>
      <c r="F16" s="293"/>
      <c r="G16" s="293"/>
      <c r="H16" s="293"/>
      <c r="I16" s="293"/>
      <c r="J16" s="297"/>
      <c r="L16" s="295"/>
    </row>
    <row r="17" spans="1:12" ht="3.75" customHeight="1" x14ac:dyDescent="0.25">
      <c r="A17" s="293"/>
      <c r="B17" s="293"/>
      <c r="C17" s="293"/>
      <c r="D17" s="293"/>
      <c r="E17" s="293"/>
      <c r="F17" s="293"/>
      <c r="G17" s="293"/>
      <c r="H17" s="293"/>
      <c r="I17" s="293"/>
      <c r="J17" s="294"/>
      <c r="L17" s="295"/>
    </row>
    <row r="18" spans="1:12" ht="39.6" customHeight="1" x14ac:dyDescent="0.25">
      <c r="A18" s="293"/>
      <c r="B18" s="293"/>
      <c r="C18" s="293"/>
      <c r="D18" s="293"/>
      <c r="E18" s="293"/>
      <c r="F18" s="293"/>
      <c r="G18" s="293"/>
      <c r="H18" s="293"/>
      <c r="I18" s="293"/>
      <c r="J18" s="297"/>
      <c r="L18" s="295"/>
    </row>
    <row r="19" spans="1:12" ht="3.75" customHeight="1" x14ac:dyDescent="0.25">
      <c r="A19" s="293"/>
      <c r="B19" s="293"/>
      <c r="C19" s="293"/>
      <c r="D19" s="293"/>
      <c r="E19" s="293"/>
      <c r="F19" s="293"/>
      <c r="G19" s="293"/>
      <c r="H19" s="293"/>
      <c r="I19" s="293"/>
      <c r="J19" s="294"/>
      <c r="L19" s="295"/>
    </row>
    <row r="20" spans="1:12" ht="39.9" customHeight="1" x14ac:dyDescent="0.25">
      <c r="A20" s="293"/>
      <c r="B20" s="293"/>
      <c r="C20" s="293"/>
      <c r="D20" s="293"/>
      <c r="E20" s="293"/>
      <c r="F20" s="293"/>
      <c r="G20" s="293"/>
      <c r="H20" s="293"/>
      <c r="I20" s="293"/>
      <c r="J20" s="297"/>
      <c r="L20" s="295"/>
    </row>
    <row r="21" spans="1:12" ht="3.75" customHeight="1" x14ac:dyDescent="0.25">
      <c r="A21" s="299"/>
      <c r="B21" s="299"/>
      <c r="C21" s="299"/>
      <c r="D21" s="299"/>
      <c r="E21" s="299"/>
      <c r="F21" s="299"/>
      <c r="G21" s="299"/>
      <c r="H21" s="299"/>
      <c r="I21" s="299"/>
      <c r="J21" s="294"/>
      <c r="L21" s="295"/>
    </row>
    <row r="22" spans="1:12" ht="39.9" customHeight="1" x14ac:dyDescent="0.25">
      <c r="A22" s="299"/>
      <c r="B22" s="299"/>
      <c r="C22" s="299"/>
      <c r="D22" s="299"/>
      <c r="E22" s="299"/>
      <c r="F22" s="299"/>
      <c r="G22" s="299"/>
      <c r="H22" s="299"/>
      <c r="I22" s="299"/>
      <c r="J22" s="297"/>
      <c r="L22" s="295"/>
    </row>
    <row r="23" spans="1:12" ht="3.75" customHeight="1" x14ac:dyDescent="0.25">
      <c r="A23" s="299"/>
      <c r="B23" s="299"/>
      <c r="C23" s="299"/>
      <c r="D23" s="299"/>
      <c r="E23" s="299"/>
      <c r="F23" s="299"/>
      <c r="G23" s="299"/>
      <c r="H23" s="299"/>
      <c r="I23" s="299"/>
      <c r="J23" s="294"/>
      <c r="L23" s="295"/>
    </row>
    <row r="24" spans="1:12" ht="39.9" customHeight="1" x14ac:dyDescent="0.25">
      <c r="A24" s="299"/>
      <c r="B24" s="299"/>
      <c r="C24" s="299"/>
      <c r="D24" s="299"/>
      <c r="E24" s="299"/>
      <c r="F24" s="299"/>
      <c r="G24" s="299"/>
      <c r="H24" s="299"/>
      <c r="I24" s="299"/>
      <c r="J24" s="297"/>
      <c r="L24" s="295"/>
    </row>
    <row r="25" spans="1:12" ht="20.100000000000001" customHeight="1" x14ac:dyDescent="0.25">
      <c r="A25" s="299"/>
      <c r="B25" s="299"/>
      <c r="C25" s="299"/>
      <c r="D25" s="299"/>
      <c r="E25" s="299"/>
      <c r="F25" s="299"/>
      <c r="G25" s="299"/>
      <c r="H25" s="299"/>
      <c r="I25" s="299"/>
      <c r="J25" s="300"/>
    </row>
    <row r="26" spans="1:12" ht="27.75" customHeight="1" x14ac:dyDescent="0.25">
      <c r="A26" s="301"/>
      <c r="B26" s="301"/>
      <c r="C26" s="301"/>
      <c r="D26" s="293"/>
      <c r="E26" s="293"/>
      <c r="F26" s="293"/>
      <c r="G26" s="293"/>
      <c r="H26" s="293"/>
      <c r="I26" s="293"/>
    </row>
    <row r="27" spans="1:12" ht="28.5" customHeight="1" x14ac:dyDescent="0.3">
      <c r="A27" s="302"/>
      <c r="B27" s="301"/>
      <c r="C27" s="301"/>
      <c r="D27" s="293"/>
      <c r="E27" s="293"/>
      <c r="F27" s="293"/>
      <c r="G27" s="293"/>
      <c r="H27" s="293"/>
      <c r="I27" s="293"/>
    </row>
    <row r="28" spans="1:12" ht="20.100000000000001" customHeight="1" x14ac:dyDescent="0.3">
      <c r="A28" s="302"/>
      <c r="B28" s="293"/>
      <c r="C28" s="293"/>
      <c r="D28" s="293"/>
      <c r="E28" s="293"/>
      <c r="F28" s="293"/>
      <c r="G28" s="293"/>
      <c r="H28" s="293"/>
      <c r="I28" s="293"/>
      <c r="J28" s="300"/>
    </row>
    <row r="29" spans="1:12" ht="20.100000000000001" customHeight="1" x14ac:dyDescent="0.25">
      <c r="A29" s="293"/>
      <c r="B29" s="293"/>
      <c r="C29" s="293"/>
      <c r="D29" s="293"/>
      <c r="E29" s="293"/>
      <c r="F29" s="293"/>
      <c r="G29" s="293"/>
      <c r="H29" s="293"/>
      <c r="I29" s="293"/>
    </row>
    <row r="30" spans="1:12" ht="20.100000000000001" customHeight="1" x14ac:dyDescent="0.25">
      <c r="A30" s="293"/>
      <c r="B30" s="293"/>
      <c r="C30" s="293"/>
      <c r="D30" s="293"/>
      <c r="E30" s="293"/>
      <c r="F30" s="293"/>
      <c r="G30" s="293"/>
      <c r="H30" s="293"/>
      <c r="I30" s="293"/>
    </row>
    <row r="31" spans="1:12" ht="24" customHeight="1" x14ac:dyDescent="0.25">
      <c r="A31" s="303"/>
      <c r="B31" s="303"/>
      <c r="C31" s="303"/>
      <c r="D31" s="2"/>
      <c r="E31" s="303"/>
      <c r="F31" s="303"/>
      <c r="G31" s="303"/>
      <c r="H31" s="303"/>
      <c r="I31" s="303"/>
    </row>
    <row r="32" spans="1:12" ht="20.100000000000001" customHeight="1" x14ac:dyDescent="0.25">
      <c r="A32" s="11"/>
      <c r="B32" s="11"/>
      <c r="C32" s="2"/>
      <c r="D32" s="2"/>
      <c r="E32" s="11"/>
      <c r="F32" s="11"/>
      <c r="G32" s="11"/>
      <c r="H32" s="11"/>
      <c r="I32" s="11"/>
    </row>
    <row r="33" spans="1:9" ht="20.100000000000001" customHeight="1" x14ac:dyDescent="0.25">
      <c r="A33" s="11"/>
      <c r="B33" s="11"/>
      <c r="C33" s="2"/>
      <c r="D33" s="2"/>
      <c r="E33" s="304"/>
      <c r="F33" s="11"/>
      <c r="G33" s="11"/>
      <c r="H33" s="11"/>
      <c r="I33" s="11"/>
    </row>
    <row r="34" spans="1:9" ht="20.100000000000001" customHeight="1" x14ac:dyDescent="0.3">
      <c r="A34" s="13"/>
      <c r="B34" s="13"/>
      <c r="C34" s="14"/>
      <c r="D34" s="14"/>
      <c r="E34" s="13"/>
      <c r="F34" s="13"/>
      <c r="G34" s="13"/>
      <c r="H34" s="13"/>
      <c r="I34" s="13"/>
    </row>
    <row r="35" spans="1:9" ht="20.100000000000001" customHeight="1" x14ac:dyDescent="0.3">
      <c r="A35" s="19"/>
      <c r="B35" s="13"/>
      <c r="C35" s="13"/>
      <c r="D35" s="14"/>
      <c r="E35" s="13"/>
      <c r="F35" s="13"/>
      <c r="G35" s="19"/>
      <c r="H35" s="13"/>
      <c r="I35" s="13"/>
    </row>
    <row r="36" spans="1:9" ht="20.100000000000001" customHeight="1" x14ac:dyDescent="0.3">
      <c r="A36" s="13"/>
      <c r="B36" s="13"/>
      <c r="C36" s="13"/>
      <c r="D36" s="14"/>
      <c r="E36" s="13"/>
      <c r="F36" s="13"/>
      <c r="G36" s="13"/>
      <c r="H36" s="13"/>
      <c r="I36" s="13"/>
    </row>
    <row r="37" spans="1:9" ht="20.100000000000001" customHeight="1" x14ac:dyDescent="0.3">
      <c r="A37" s="19"/>
      <c r="B37" s="13"/>
      <c r="C37" s="16"/>
      <c r="D37" s="14"/>
      <c r="E37" s="13"/>
      <c r="F37" s="13"/>
      <c r="G37" s="19"/>
      <c r="H37" s="13"/>
      <c r="I37" s="13"/>
    </row>
    <row r="38" spans="1:9" ht="20.100000000000001" customHeight="1" x14ac:dyDescent="0.3">
      <c r="A38" s="13"/>
      <c r="B38" s="13"/>
      <c r="C38" s="13"/>
      <c r="D38" s="14"/>
      <c r="E38" s="2"/>
      <c r="F38" s="2"/>
      <c r="G38" s="2"/>
      <c r="H38" s="2"/>
      <c r="I38" s="13"/>
    </row>
    <row r="39" spans="1:9" ht="20.100000000000001" customHeight="1" x14ac:dyDescent="0.3">
      <c r="A39" s="14"/>
      <c r="B39" s="14"/>
      <c r="C39" s="13"/>
      <c r="D39" s="14"/>
      <c r="E39" s="14"/>
      <c r="F39" s="2"/>
      <c r="G39" s="14"/>
      <c r="H39" s="14"/>
      <c r="I39" s="16"/>
    </row>
    <row r="40" spans="1:9" ht="20.100000000000001" customHeight="1" x14ac:dyDescent="0.3">
      <c r="A40" s="2"/>
      <c r="B40" s="2"/>
      <c r="C40" s="13"/>
      <c r="D40" s="14"/>
      <c r="E40" s="13"/>
      <c r="F40" s="13"/>
      <c r="G40" s="19"/>
      <c r="H40" s="13"/>
      <c r="I40" s="13"/>
    </row>
    <row r="41" spans="1:9" ht="20.100000000000001" customHeight="1" x14ac:dyDescent="0.3">
      <c r="A41" s="19"/>
      <c r="B41" s="13"/>
      <c r="C41" s="13"/>
      <c r="D41" s="14"/>
      <c r="E41" s="13"/>
      <c r="F41" s="13"/>
      <c r="G41" s="19"/>
      <c r="H41" s="13"/>
      <c r="I41" s="305"/>
    </row>
    <row r="42" spans="1:9" ht="20.100000000000001" customHeight="1" x14ac:dyDescent="0.3">
      <c r="A42" s="19"/>
      <c r="B42" s="13"/>
      <c r="C42" s="13"/>
      <c r="D42" s="14"/>
      <c r="E42" s="13"/>
      <c r="F42" s="13"/>
      <c r="G42" s="13"/>
      <c r="H42" s="13"/>
      <c r="I42" s="13"/>
    </row>
    <row r="43" spans="1:9" ht="20.100000000000001" customHeight="1" x14ac:dyDescent="0.3">
      <c r="A43" s="31"/>
      <c r="B43" s="13"/>
      <c r="C43" s="2"/>
      <c r="D43" s="14"/>
      <c r="E43" s="13"/>
      <c r="F43" s="13"/>
      <c r="G43" s="19"/>
      <c r="H43" s="13"/>
      <c r="I43" s="16"/>
    </row>
    <row r="44" spans="1:9" ht="20.100000000000001" customHeight="1" x14ac:dyDescent="0.3">
      <c r="A44" s="2"/>
      <c r="B44" s="2"/>
      <c r="C44" s="2"/>
      <c r="D44" s="14"/>
      <c r="E44" s="13"/>
      <c r="F44" s="13"/>
      <c r="G44" s="13"/>
      <c r="H44" s="13"/>
      <c r="I44" s="13"/>
    </row>
    <row r="45" spans="1:9" ht="20.100000000000001" customHeight="1" x14ac:dyDescent="0.3">
      <c r="A45" s="13"/>
      <c r="B45" s="13"/>
      <c r="C45" s="13"/>
      <c r="D45" s="14"/>
      <c r="E45" s="13"/>
      <c r="F45" s="13"/>
      <c r="G45" s="19"/>
      <c r="H45" s="13"/>
      <c r="I45" s="16"/>
    </row>
    <row r="46" spans="1:9" ht="20.100000000000001" customHeight="1" x14ac:dyDescent="0.3">
      <c r="A46" s="13"/>
      <c r="B46" s="13"/>
      <c r="C46" s="13"/>
      <c r="D46" s="14"/>
      <c r="E46" s="13"/>
      <c r="F46" s="13"/>
      <c r="G46" s="13"/>
      <c r="H46" s="13"/>
      <c r="I46" s="13"/>
    </row>
    <row r="47" spans="1:9" ht="20.100000000000001" customHeight="1" x14ac:dyDescent="0.3">
      <c r="A47" s="14"/>
      <c r="B47" s="14"/>
      <c r="C47" s="2"/>
      <c r="D47" s="14"/>
      <c r="E47" s="30"/>
      <c r="F47" s="13"/>
      <c r="G47" s="31"/>
      <c r="H47" s="13"/>
      <c r="I47" s="13"/>
    </row>
    <row r="48" spans="1:9" ht="20.100000000000001" customHeight="1" x14ac:dyDescent="0.3">
      <c r="A48" s="2"/>
      <c r="B48" s="2"/>
      <c r="C48" s="2"/>
      <c r="D48" s="14"/>
      <c r="E48" s="13"/>
      <c r="F48" s="13"/>
      <c r="G48" s="13"/>
      <c r="H48" s="13"/>
      <c r="I48" s="13"/>
    </row>
    <row r="49" spans="1:9" ht="20.100000000000001" customHeight="1" x14ac:dyDescent="0.3">
      <c r="A49" s="19"/>
      <c r="B49" s="23"/>
      <c r="C49" s="13"/>
      <c r="D49" s="14"/>
      <c r="E49" s="13"/>
      <c r="F49" s="13"/>
      <c r="G49" s="13"/>
      <c r="H49" s="13"/>
      <c r="I49" s="13"/>
    </row>
    <row r="50" spans="1:9" ht="20.100000000000001" customHeight="1" x14ac:dyDescent="0.3">
      <c r="A50" s="13"/>
      <c r="B50" s="13"/>
      <c r="C50" s="13"/>
      <c r="D50" s="14"/>
      <c r="E50" s="42"/>
      <c r="F50" s="13"/>
      <c r="G50" s="13"/>
      <c r="H50" s="13"/>
      <c r="I50" s="13"/>
    </row>
    <row r="51" spans="1:9" ht="20.100000000000001" customHeight="1" x14ac:dyDescent="0.3">
      <c r="A51" s="13"/>
      <c r="B51" s="13"/>
      <c r="C51" s="13"/>
      <c r="D51" s="14"/>
      <c r="E51" s="13"/>
      <c r="F51" s="13"/>
      <c r="G51" s="13"/>
      <c r="H51" s="13"/>
      <c r="I51" s="13"/>
    </row>
    <row r="52" spans="1:9" ht="20.100000000000001" customHeight="1" x14ac:dyDescent="0.3">
      <c r="A52" s="13"/>
      <c r="B52" s="13"/>
      <c r="C52" s="13"/>
      <c r="D52" s="14"/>
      <c r="E52" s="14"/>
      <c r="F52" s="2"/>
      <c r="G52" s="14"/>
      <c r="H52" s="14"/>
      <c r="I52" s="2"/>
    </row>
    <row r="53" spans="1:9" ht="20.100000000000001" customHeight="1" x14ac:dyDescent="0.3">
      <c r="A53" s="306"/>
      <c r="B53" s="13"/>
      <c r="C53" s="13"/>
      <c r="D53" s="14"/>
      <c r="E53" s="2"/>
      <c r="F53" s="2"/>
      <c r="G53" s="2"/>
      <c r="H53" s="2"/>
      <c r="I53" s="2"/>
    </row>
    <row r="54" spans="1:9" ht="20.100000000000001" customHeight="1" x14ac:dyDescent="0.3">
      <c r="A54" s="13"/>
      <c r="B54" s="13"/>
      <c r="C54" s="13"/>
      <c r="D54" s="14"/>
      <c r="E54" s="13"/>
      <c r="F54" s="13"/>
      <c r="G54" s="19"/>
      <c r="H54" s="23"/>
      <c r="I54" s="13"/>
    </row>
    <row r="55" spans="1:9" ht="20.100000000000001" customHeight="1" x14ac:dyDescent="0.3">
      <c r="A55" s="307"/>
      <c r="B55" s="23"/>
      <c r="C55" s="13"/>
      <c r="D55" s="14"/>
      <c r="E55" s="13"/>
      <c r="F55" s="13"/>
      <c r="G55" s="13"/>
      <c r="H55" s="13"/>
      <c r="I55" s="13"/>
    </row>
    <row r="56" spans="1:9" ht="20.100000000000001" customHeight="1" x14ac:dyDescent="0.3">
      <c r="A56" s="2"/>
      <c r="B56" s="2"/>
      <c r="C56" s="2"/>
      <c r="D56" s="14"/>
      <c r="E56" s="13"/>
      <c r="F56" s="13"/>
      <c r="G56" s="13"/>
      <c r="H56" s="13"/>
      <c r="I56" s="13"/>
    </row>
    <row r="57" spans="1:9" ht="20.100000000000001" customHeight="1" x14ac:dyDescent="0.3">
      <c r="A57" s="14"/>
      <c r="B57" s="14"/>
      <c r="C57" s="2"/>
      <c r="D57" s="14"/>
      <c r="E57" s="13"/>
      <c r="F57" s="13"/>
      <c r="G57" s="13"/>
      <c r="H57" s="13"/>
      <c r="I57" s="13"/>
    </row>
    <row r="58" spans="1:9" ht="20.100000000000001" customHeight="1" x14ac:dyDescent="0.3">
      <c r="A58" s="14"/>
      <c r="B58" s="2"/>
      <c r="C58" s="2"/>
      <c r="D58" s="14"/>
      <c r="E58" s="13"/>
      <c r="F58" s="13"/>
      <c r="G58" s="306"/>
      <c r="H58" s="13"/>
      <c r="I58" s="13"/>
    </row>
    <row r="59" spans="1:9" ht="20.100000000000001" customHeight="1" x14ac:dyDescent="0.25">
      <c r="A59" s="2"/>
      <c r="B59" s="2"/>
      <c r="C59" s="2"/>
      <c r="D59" s="13"/>
      <c r="E59" s="13"/>
      <c r="F59" s="13"/>
      <c r="G59" s="13"/>
      <c r="H59" s="13"/>
      <c r="I59" s="13"/>
    </row>
    <row r="60" spans="1:9" ht="24.9" customHeight="1" x14ac:dyDescent="0.25">
      <c r="A60" s="303"/>
      <c r="B60" s="303"/>
      <c r="C60" s="303"/>
      <c r="D60" s="13"/>
      <c r="E60" s="13"/>
      <c r="F60" s="13"/>
      <c r="G60" s="13"/>
      <c r="H60" s="13"/>
      <c r="I60" s="13"/>
    </row>
    <row r="61" spans="1:9" ht="20.100000000000001" customHeight="1" x14ac:dyDescent="0.3">
      <c r="A61" s="11"/>
      <c r="B61" s="11"/>
      <c r="C61" s="2"/>
      <c r="D61" s="14"/>
      <c r="E61" s="30"/>
      <c r="F61" s="13"/>
      <c r="G61" s="307"/>
      <c r="H61" s="23"/>
      <c r="I61" s="13"/>
    </row>
    <row r="62" spans="1:9" ht="24.9" customHeight="1" x14ac:dyDescent="0.3">
      <c r="A62" s="11"/>
      <c r="B62" s="11"/>
      <c r="C62" s="2"/>
      <c r="D62" s="14"/>
      <c r="E62" s="13"/>
      <c r="F62" s="13"/>
      <c r="G62" s="13"/>
      <c r="H62" s="13"/>
      <c r="I62" s="14"/>
    </row>
    <row r="63" spans="1:9" ht="20.100000000000001" customHeight="1" x14ac:dyDescent="0.3">
      <c r="A63" s="13"/>
      <c r="B63" s="13"/>
      <c r="C63" s="14"/>
      <c r="D63" s="14"/>
      <c r="E63" s="25"/>
      <c r="F63" s="2"/>
      <c r="G63" s="14"/>
      <c r="H63" s="14"/>
      <c r="I63" s="2"/>
    </row>
    <row r="64" spans="1:9" ht="20.100000000000001" customHeight="1" x14ac:dyDescent="0.3">
      <c r="A64" s="13"/>
      <c r="B64" s="13"/>
      <c r="C64" s="14"/>
      <c r="D64" s="14"/>
      <c r="E64" s="2"/>
      <c r="F64" s="2"/>
      <c r="G64" s="2"/>
      <c r="H64" s="2"/>
      <c r="I64" s="2"/>
    </row>
    <row r="65" spans="1:9" ht="20.100000000000001" customHeight="1" x14ac:dyDescent="0.3">
      <c r="A65" s="13"/>
      <c r="B65" s="13"/>
      <c r="C65" s="14"/>
      <c r="D65" s="14"/>
      <c r="E65" s="2"/>
      <c r="F65" s="2"/>
      <c r="G65" s="2"/>
      <c r="H65" s="2"/>
      <c r="I65" s="2"/>
    </row>
    <row r="66" spans="1:9" ht="20.100000000000001" customHeight="1" x14ac:dyDescent="0.3">
      <c r="A66" s="13"/>
      <c r="B66" s="13"/>
      <c r="C66" s="14"/>
      <c r="D66" s="14"/>
      <c r="E66" s="2"/>
      <c r="F66" s="2"/>
      <c r="G66" s="2"/>
      <c r="H66" s="2"/>
      <c r="I66" s="2"/>
    </row>
    <row r="67" spans="1:9" ht="20.100000000000001" customHeight="1" x14ac:dyDescent="0.3">
      <c r="A67" s="13"/>
      <c r="B67" s="13"/>
      <c r="C67" s="14"/>
      <c r="D67" s="14"/>
      <c r="E67" s="2"/>
      <c r="F67" s="2"/>
      <c r="G67" s="2"/>
      <c r="H67" s="2"/>
      <c r="I67" s="2"/>
    </row>
    <row r="68" spans="1:9" ht="20.100000000000001" customHeight="1" x14ac:dyDescent="0.3">
      <c r="A68" s="13"/>
      <c r="B68" s="13"/>
      <c r="C68" s="14"/>
      <c r="D68" s="14"/>
      <c r="E68" s="2"/>
      <c r="F68" s="2"/>
      <c r="G68" s="2"/>
      <c r="H68" s="2"/>
      <c r="I68" s="2"/>
    </row>
    <row r="69" spans="1:9" ht="20.100000000000001" customHeight="1" x14ac:dyDescent="0.3">
      <c r="A69" s="13"/>
      <c r="B69" s="13"/>
      <c r="C69" s="14"/>
      <c r="D69" s="14"/>
      <c r="E69" s="2"/>
      <c r="F69" s="2"/>
      <c r="G69" s="2"/>
      <c r="H69" s="2"/>
      <c r="I69" s="2"/>
    </row>
    <row r="70" spans="1:9" ht="20.100000000000001" customHeight="1" x14ac:dyDescent="0.3">
      <c r="A70" s="13"/>
      <c r="B70" s="13"/>
      <c r="C70" s="14"/>
      <c r="D70" s="14"/>
      <c r="E70" s="2"/>
      <c r="F70" s="2"/>
      <c r="G70" s="2"/>
      <c r="H70" s="2"/>
      <c r="I70" s="2"/>
    </row>
    <row r="71" spans="1:9" ht="20.100000000000001" customHeight="1" x14ac:dyDescent="0.3">
      <c r="A71" s="13"/>
      <c r="B71" s="13"/>
      <c r="C71" s="14"/>
      <c r="D71" s="14"/>
      <c r="E71" s="2"/>
      <c r="F71" s="2"/>
      <c r="G71" s="2"/>
      <c r="H71" s="2"/>
      <c r="I71" s="2"/>
    </row>
    <row r="72" spans="1:9" ht="20.100000000000001" customHeight="1" x14ac:dyDescent="0.3">
      <c r="A72" s="13"/>
      <c r="B72" s="13"/>
      <c r="C72" s="33"/>
      <c r="D72" s="13"/>
      <c r="E72" s="2"/>
      <c r="F72" s="2"/>
      <c r="G72" s="2"/>
      <c r="H72" s="2"/>
      <c r="I72" s="2"/>
    </row>
    <row r="73" spans="1:9" ht="20.100000000000001" customHeight="1" x14ac:dyDescent="0.3">
      <c r="A73" s="13"/>
      <c r="B73" s="13"/>
      <c r="C73" s="33"/>
      <c r="D73" s="13"/>
      <c r="E73" s="2"/>
      <c r="F73" s="2"/>
      <c r="G73" s="2"/>
      <c r="H73" s="2"/>
      <c r="I73" s="2"/>
    </row>
    <row r="74" spans="1:9" ht="20.100000000000001" customHeight="1" x14ac:dyDescent="0.3">
      <c r="A74" s="13"/>
      <c r="B74" s="13"/>
      <c r="C74" s="33"/>
      <c r="D74" s="13"/>
      <c r="E74" s="2"/>
      <c r="F74" s="2"/>
      <c r="G74" s="2"/>
      <c r="H74" s="2"/>
      <c r="I74" s="2"/>
    </row>
    <row r="75" spans="1:9" ht="20.100000000000001" customHeight="1" x14ac:dyDescent="0.3">
      <c r="A75" s="13"/>
      <c r="B75" s="13"/>
      <c r="C75" s="33"/>
      <c r="D75" s="13"/>
      <c r="E75" s="2"/>
      <c r="F75" s="2"/>
      <c r="G75" s="2"/>
      <c r="H75" s="2"/>
      <c r="I75" s="2"/>
    </row>
    <row r="76" spans="1:9" ht="20.100000000000001" customHeight="1" x14ac:dyDescent="0.3">
      <c r="A76" s="13"/>
      <c r="B76" s="13"/>
      <c r="C76" s="33"/>
      <c r="D76" s="13"/>
      <c r="E76" s="2"/>
      <c r="F76" s="2"/>
      <c r="G76" s="2"/>
      <c r="H76" s="2"/>
      <c r="I76" s="2"/>
    </row>
    <row r="77" spans="1:9" ht="20.100000000000001" customHeight="1" x14ac:dyDescent="0.3">
      <c r="A77" s="13"/>
      <c r="B77" s="13"/>
      <c r="C77" s="14"/>
      <c r="D77" s="13"/>
      <c r="E77" s="2"/>
      <c r="F77" s="2"/>
      <c r="G77" s="2"/>
      <c r="H77" s="2"/>
      <c r="I77" s="2"/>
    </row>
    <row r="78" spans="1:9" ht="20.100000000000001" customHeight="1" x14ac:dyDescent="0.3">
      <c r="A78" s="13"/>
      <c r="B78" s="13"/>
      <c r="C78" s="14"/>
      <c r="D78" s="13"/>
      <c r="E78" s="2"/>
      <c r="F78" s="2"/>
      <c r="G78" s="2"/>
      <c r="H78" s="2"/>
      <c r="I78" s="2"/>
    </row>
    <row r="79" spans="1:9" ht="20.100000000000001" customHeight="1" x14ac:dyDescent="0.3">
      <c r="A79" s="13"/>
      <c r="B79" s="13"/>
      <c r="C79" s="14"/>
      <c r="D79" s="13"/>
      <c r="E79" s="2"/>
      <c r="F79" s="2"/>
      <c r="G79" s="2"/>
      <c r="H79" s="2"/>
      <c r="I79" s="2"/>
    </row>
    <row r="80" spans="1:9" ht="20.100000000000001" customHeight="1" x14ac:dyDescent="0.3">
      <c r="A80" s="13"/>
      <c r="B80" s="13"/>
      <c r="C80" s="33"/>
      <c r="D80" s="13"/>
      <c r="E80" s="2"/>
      <c r="F80" s="2"/>
      <c r="G80" s="2"/>
      <c r="H80" s="2"/>
      <c r="I80" s="2"/>
    </row>
    <row r="81" spans="1:9" ht="20.100000000000001" customHeight="1" x14ac:dyDescent="0.3">
      <c r="A81" s="13"/>
      <c r="B81" s="13"/>
      <c r="C81" s="14"/>
      <c r="D81" s="13"/>
      <c r="E81" s="2"/>
      <c r="F81" s="2"/>
      <c r="G81" s="2"/>
      <c r="H81" s="2"/>
      <c r="I81" s="2"/>
    </row>
    <row r="82" spans="1:9" ht="20.100000000000001" customHeight="1" x14ac:dyDescent="0.3">
      <c r="A82" s="306"/>
      <c r="B82" s="13"/>
      <c r="C82" s="14"/>
      <c r="D82" s="13"/>
      <c r="E82" s="2"/>
      <c r="F82" s="2"/>
      <c r="G82" s="2"/>
      <c r="H82" s="2"/>
      <c r="I82" s="2"/>
    </row>
    <row r="83" spans="1:9" ht="20.100000000000001" customHeight="1" x14ac:dyDescent="0.3">
      <c r="A83" s="13"/>
      <c r="B83" s="13"/>
      <c r="C83" s="14"/>
      <c r="D83" s="13"/>
      <c r="E83" s="2"/>
      <c r="F83" s="2"/>
      <c r="G83" s="2"/>
      <c r="H83" s="2"/>
      <c r="I83" s="2"/>
    </row>
    <row r="84" spans="1:9" ht="20.100000000000001" customHeight="1" x14ac:dyDescent="0.3">
      <c r="A84" s="13"/>
      <c r="B84" s="13"/>
      <c r="C84" s="14"/>
      <c r="D84" s="11"/>
      <c r="E84" s="2"/>
      <c r="F84" s="2"/>
      <c r="G84" s="2"/>
      <c r="H84" s="2"/>
      <c r="I84" s="2"/>
    </row>
    <row r="85" spans="1:9" ht="20.100000000000001" customHeight="1" x14ac:dyDescent="0.3">
      <c r="A85" s="13"/>
      <c r="B85" s="13"/>
      <c r="C85" s="14"/>
      <c r="D85" s="11"/>
      <c r="E85" s="2"/>
      <c r="F85" s="2"/>
      <c r="G85" s="2"/>
      <c r="H85" s="2"/>
      <c r="I85" s="2"/>
    </row>
    <row r="86" spans="1:9" ht="20.100000000000001" customHeight="1" x14ac:dyDescent="0.3">
      <c r="A86" s="13"/>
      <c r="B86" s="13"/>
      <c r="C86" s="14"/>
      <c r="D86" s="11"/>
      <c r="E86" s="2"/>
      <c r="F86" s="2"/>
      <c r="G86" s="2"/>
      <c r="H86" s="2"/>
      <c r="I86" s="2"/>
    </row>
    <row r="87" spans="1:9" ht="20.100000000000001" customHeight="1" x14ac:dyDescent="0.3">
      <c r="A87" s="14"/>
      <c r="B87" s="14"/>
      <c r="C87" s="2"/>
      <c r="D87" s="11"/>
      <c r="E87" s="2"/>
      <c r="F87" s="2"/>
      <c r="G87" s="2"/>
      <c r="H87" s="2"/>
      <c r="I87" s="2"/>
    </row>
    <row r="88" spans="1:9" ht="20.100000000000001" customHeight="1" x14ac:dyDescent="0.25">
      <c r="A88" s="2"/>
      <c r="B88" s="2"/>
      <c r="C88" s="2"/>
      <c r="D88" s="11"/>
      <c r="E88" s="2"/>
      <c r="F88" s="2"/>
      <c r="G88" s="2"/>
      <c r="H88" s="2"/>
      <c r="I88" s="2"/>
    </row>
    <row r="89" spans="1:9" ht="20.100000000000001" customHeight="1" x14ac:dyDescent="0.3">
      <c r="A89" s="13"/>
      <c r="B89" s="23"/>
      <c r="C89" s="14"/>
      <c r="D89" s="11"/>
      <c r="E89" s="2"/>
      <c r="F89" s="2"/>
      <c r="G89" s="2"/>
      <c r="H89" s="2"/>
      <c r="I89" s="2"/>
    </row>
    <row r="90" spans="1:9" ht="20.100000000000001" customHeight="1" x14ac:dyDescent="0.3">
      <c r="A90" s="13"/>
      <c r="B90" s="13"/>
      <c r="C90" s="14"/>
      <c r="D90" s="11"/>
      <c r="E90" s="11"/>
      <c r="F90" s="11"/>
      <c r="G90" s="11"/>
      <c r="H90" s="11"/>
      <c r="I90" s="11"/>
    </row>
    <row r="91" spans="1:9" ht="20.100000000000001" customHeight="1" x14ac:dyDescent="0.3">
      <c r="A91" s="13"/>
      <c r="B91" s="13"/>
      <c r="C91" s="14"/>
      <c r="D91" s="11"/>
      <c r="E91" s="11"/>
      <c r="F91" s="11"/>
      <c r="G91" s="11"/>
      <c r="H91" s="11"/>
      <c r="I91" s="11"/>
    </row>
    <row r="92" spans="1:9" ht="20.100000000000001" customHeight="1" x14ac:dyDescent="0.25">
      <c r="A92" s="13"/>
      <c r="B92" s="13"/>
      <c r="C92" s="13"/>
      <c r="D92" s="11"/>
      <c r="E92" s="11"/>
      <c r="F92" s="11"/>
      <c r="G92" s="11"/>
      <c r="H92" s="11"/>
      <c r="I92" s="11"/>
    </row>
    <row r="93" spans="1:9" ht="20.100000000000001" customHeight="1" x14ac:dyDescent="0.25">
      <c r="A93" s="306"/>
      <c r="B93" s="13"/>
      <c r="C93" s="13"/>
      <c r="D93" s="11"/>
      <c r="E93" s="11"/>
      <c r="F93" s="11"/>
      <c r="G93" s="11"/>
      <c r="H93" s="11"/>
      <c r="I93" s="11"/>
    </row>
    <row r="94" spans="1:9" ht="20.100000000000001" customHeight="1" x14ac:dyDescent="0.25">
      <c r="A94" s="13"/>
      <c r="B94" s="13"/>
      <c r="C94" s="13"/>
      <c r="D94" s="2"/>
      <c r="E94" s="11"/>
      <c r="F94" s="11"/>
      <c r="G94" s="11"/>
      <c r="H94" s="11"/>
      <c r="I94" s="11"/>
    </row>
    <row r="95" spans="1:9" ht="20.100000000000001" customHeight="1" x14ac:dyDescent="0.25">
      <c r="A95" s="307"/>
      <c r="B95" s="13"/>
      <c r="C95" s="13"/>
      <c r="D95" s="2"/>
      <c r="E95" s="11"/>
      <c r="F95" s="11"/>
      <c r="G95" s="11"/>
      <c r="H95" s="11"/>
      <c r="I95" s="11"/>
    </row>
    <row r="96" spans="1:9" ht="20.100000000000001" customHeight="1" x14ac:dyDescent="0.25">
      <c r="A96" s="2"/>
      <c r="B96" s="2"/>
      <c r="C96" s="2"/>
      <c r="D96" s="2"/>
      <c r="E96" s="11"/>
      <c r="F96" s="11"/>
      <c r="G96" s="11"/>
      <c r="H96" s="11"/>
      <c r="I96" s="11"/>
    </row>
    <row r="97" spans="1:9" ht="20.100000000000001" customHeight="1" x14ac:dyDescent="0.3">
      <c r="A97" s="14"/>
      <c r="B97" s="14"/>
      <c r="C97" s="14"/>
      <c r="D97" s="2"/>
      <c r="E97" s="2"/>
      <c r="F97" s="2"/>
      <c r="G97" s="2"/>
      <c r="H97" s="2"/>
      <c r="I97" s="2"/>
    </row>
    <row r="98" spans="1:9" ht="20.100000000000001" customHeight="1" x14ac:dyDescent="0.25">
      <c r="A98" s="2"/>
      <c r="B98" s="2"/>
      <c r="C98" s="2"/>
      <c r="D98" s="2"/>
      <c r="E98" s="2"/>
      <c r="F98" s="2"/>
      <c r="G98" s="2"/>
      <c r="H98" s="2"/>
      <c r="I98" s="2"/>
    </row>
    <row r="99" spans="1:9" ht="20.100000000000001" customHeight="1" x14ac:dyDescent="0.25">
      <c r="A99" s="2"/>
      <c r="B99" s="2"/>
      <c r="C99" s="2"/>
      <c r="D99" s="2"/>
      <c r="E99" s="2"/>
      <c r="F99" s="2"/>
      <c r="G99" s="2"/>
      <c r="H99" s="2"/>
      <c r="I99" s="2"/>
    </row>
    <row r="100" spans="1:9" ht="20.100000000000001" customHeight="1" x14ac:dyDescent="0.25">
      <c r="A100" s="2"/>
      <c r="B100" s="2"/>
      <c r="C100" s="2"/>
      <c r="D100" s="2"/>
      <c r="E100" s="2"/>
      <c r="F100" s="2"/>
      <c r="G100" s="2"/>
      <c r="H100" s="2"/>
      <c r="I100" s="2"/>
    </row>
    <row r="101" spans="1:9" ht="20.100000000000001" customHeight="1" x14ac:dyDescent="0.25">
      <c r="A101" s="2"/>
      <c r="B101" s="2"/>
      <c r="C101" s="2"/>
      <c r="D101" s="2"/>
      <c r="E101" s="2"/>
      <c r="F101" s="2"/>
      <c r="G101" s="2"/>
      <c r="H101" s="2"/>
      <c r="I101" s="2"/>
    </row>
    <row r="102" spans="1:9" ht="20.100000000000001" customHeight="1" x14ac:dyDescent="0.25"/>
  </sheetData>
  <sheetProtection password="D401" sheet="1" objects="1" scenarios="1" selectLockedCells="1"/>
  <phoneticPr fontId="0" type="noConversion"/>
  <printOptions horizontalCentered="1"/>
  <pageMargins left="0.25" right="0.25" top="1" bottom="1" header="0.5" footer="0.5"/>
  <pageSetup scale="58" orientation="portrait" horizontalDpi="2400" verticalDpi="2400" r:id="rId1"/>
  <headerFooter alignWithMargins="0">
    <oddHeader xml:space="preserve">&amp;CGarlock Sealing Technologies
1666 Division Street.
Palmyra, NY  14522
(800) 448-6688&amp;"Arial Rounded MT Bold,Bold"
</oddHeader>
    <oddFooter>&amp;A</oddFooter>
  </headerFooter>
  <colBreaks count="1" manualBreakCount="1">
    <brk id="9"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W39"/>
  <sheetViews>
    <sheetView workbookViewId="0"/>
  </sheetViews>
  <sheetFormatPr defaultRowHeight="13.2" x14ac:dyDescent="0.25"/>
  <cols>
    <col min="1" max="1" width="20.44140625" bestFit="1" customWidth="1"/>
  </cols>
  <sheetData>
    <row r="1" spans="1:23" x14ac:dyDescent="0.25">
      <c r="A1" t="s">
        <v>41</v>
      </c>
      <c r="B1" s="4">
        <v>0.25</v>
      </c>
      <c r="C1" s="4">
        <v>0.3125</v>
      </c>
      <c r="D1" s="4">
        <v>0.375</v>
      </c>
      <c r="E1" s="4">
        <v>0.4375</v>
      </c>
      <c r="F1" s="4">
        <v>0.5</v>
      </c>
      <c r="G1" s="4">
        <v>0.5625</v>
      </c>
      <c r="H1" s="4">
        <v>0.625</v>
      </c>
      <c r="I1" s="4">
        <v>0.75</v>
      </c>
      <c r="J1" s="4">
        <v>0.875</v>
      </c>
      <c r="K1" s="4">
        <v>1</v>
      </c>
      <c r="L1" s="4">
        <v>1.125</v>
      </c>
      <c r="M1" s="4">
        <v>1.25</v>
      </c>
      <c r="N1" s="4">
        <v>1.375</v>
      </c>
      <c r="O1" s="4">
        <v>1.5</v>
      </c>
      <c r="P1" s="4">
        <v>1.625</v>
      </c>
      <c r="Q1" s="4">
        <v>1.75</v>
      </c>
      <c r="R1" s="4">
        <v>1.875</v>
      </c>
      <c r="S1" s="4">
        <v>2</v>
      </c>
      <c r="T1" s="4">
        <v>2.25</v>
      </c>
      <c r="U1" s="4">
        <v>2.5</v>
      </c>
      <c r="V1" s="4">
        <v>2.75</v>
      </c>
      <c r="W1" s="4">
        <v>3</v>
      </c>
    </row>
    <row r="2" spans="1:23" x14ac:dyDescent="0.25">
      <c r="A2" t="s">
        <v>48</v>
      </c>
      <c r="B2" s="5">
        <v>105000</v>
      </c>
      <c r="C2" s="5">
        <v>105000</v>
      </c>
      <c r="D2" s="5">
        <v>105000</v>
      </c>
      <c r="E2" s="5">
        <v>105000</v>
      </c>
      <c r="F2" s="5">
        <v>105000</v>
      </c>
      <c r="G2" s="5">
        <v>105000</v>
      </c>
      <c r="H2" s="5">
        <v>105000</v>
      </c>
      <c r="I2" s="5">
        <v>105000</v>
      </c>
      <c r="J2" s="5">
        <v>105000</v>
      </c>
      <c r="K2" s="5">
        <v>105000</v>
      </c>
      <c r="L2" s="5">
        <v>105000</v>
      </c>
      <c r="M2" s="5">
        <v>105000</v>
      </c>
      <c r="N2" s="5">
        <v>105000</v>
      </c>
      <c r="O2" s="5">
        <v>105000</v>
      </c>
      <c r="P2" s="5">
        <v>105000</v>
      </c>
      <c r="Q2" s="5">
        <v>105000</v>
      </c>
      <c r="R2" s="5">
        <v>105000</v>
      </c>
      <c r="S2" s="5">
        <v>105000</v>
      </c>
      <c r="T2" s="5">
        <v>105000</v>
      </c>
      <c r="U2" s="5">
        <v>105000</v>
      </c>
      <c r="V2" s="5">
        <v>95000</v>
      </c>
      <c r="W2" s="5">
        <v>95000</v>
      </c>
    </row>
    <row r="3" spans="1:23" x14ac:dyDescent="0.25">
      <c r="A3" t="s">
        <v>42</v>
      </c>
      <c r="B3" s="5">
        <v>80000</v>
      </c>
      <c r="C3" s="5">
        <v>80000</v>
      </c>
      <c r="D3" s="5">
        <v>80000</v>
      </c>
      <c r="E3" s="5">
        <v>80000</v>
      </c>
      <c r="F3" s="5">
        <v>80000</v>
      </c>
      <c r="G3" s="5">
        <v>80000</v>
      </c>
      <c r="H3" s="5">
        <v>80000</v>
      </c>
      <c r="I3" s="5">
        <v>80000</v>
      </c>
      <c r="J3" s="5">
        <v>80000</v>
      </c>
      <c r="K3" s="5">
        <v>80000</v>
      </c>
      <c r="L3" s="5">
        <v>80000</v>
      </c>
      <c r="M3" s="5">
        <v>80000</v>
      </c>
      <c r="N3" s="5">
        <v>80000</v>
      </c>
      <c r="O3" s="5">
        <v>80000</v>
      </c>
      <c r="P3" s="5">
        <v>80000</v>
      </c>
      <c r="Q3" s="5">
        <v>80000</v>
      </c>
      <c r="R3" s="5">
        <v>80000</v>
      </c>
      <c r="S3" s="5">
        <v>80000</v>
      </c>
      <c r="T3" s="5">
        <v>80000</v>
      </c>
      <c r="U3" s="5">
        <v>80000</v>
      </c>
      <c r="V3" s="5">
        <v>80000</v>
      </c>
      <c r="W3" s="5">
        <v>80000</v>
      </c>
    </row>
    <row r="4" spans="1:23" x14ac:dyDescent="0.25">
      <c r="A4" t="s">
        <v>43</v>
      </c>
      <c r="B4" s="5">
        <v>85000</v>
      </c>
      <c r="C4" s="5">
        <v>85000</v>
      </c>
      <c r="D4" s="5">
        <v>85000</v>
      </c>
      <c r="E4" s="5">
        <v>85000</v>
      </c>
      <c r="F4" s="5">
        <v>85000</v>
      </c>
      <c r="G4" s="5">
        <v>85000</v>
      </c>
      <c r="H4" s="5">
        <v>85000</v>
      </c>
      <c r="I4" s="5">
        <v>85000</v>
      </c>
      <c r="J4" s="5">
        <v>85000</v>
      </c>
      <c r="K4" s="5">
        <v>85000</v>
      </c>
      <c r="L4" s="5">
        <v>85000</v>
      </c>
      <c r="M4" s="5">
        <v>85000</v>
      </c>
      <c r="N4" s="5">
        <v>85000</v>
      </c>
      <c r="O4" s="5">
        <v>85000</v>
      </c>
      <c r="P4" s="5">
        <v>85000</v>
      </c>
      <c r="Q4" s="5">
        <v>85000</v>
      </c>
      <c r="R4" s="5">
        <v>85000</v>
      </c>
      <c r="S4" s="5">
        <v>85000</v>
      </c>
      <c r="T4" s="5">
        <v>85000</v>
      </c>
      <c r="U4" s="5">
        <v>85000</v>
      </c>
      <c r="V4" s="5">
        <v>85000</v>
      </c>
      <c r="W4" s="5">
        <v>85000</v>
      </c>
    </row>
    <row r="5" spans="1:23" x14ac:dyDescent="0.25">
      <c r="A5" t="s">
        <v>44</v>
      </c>
      <c r="B5" s="5">
        <v>105000</v>
      </c>
      <c r="C5" s="5">
        <v>105000</v>
      </c>
      <c r="D5" s="5">
        <v>105000</v>
      </c>
      <c r="E5" s="5">
        <v>105000</v>
      </c>
      <c r="F5" s="5">
        <v>105000</v>
      </c>
      <c r="G5" s="5">
        <v>105000</v>
      </c>
      <c r="H5" s="5">
        <v>105000</v>
      </c>
      <c r="I5" s="5">
        <v>105000</v>
      </c>
      <c r="J5" s="5">
        <v>105000</v>
      </c>
      <c r="K5" s="5">
        <v>105000</v>
      </c>
      <c r="L5" s="5">
        <v>105000</v>
      </c>
      <c r="M5" s="5">
        <v>105000</v>
      </c>
      <c r="N5" s="5">
        <v>105000</v>
      </c>
      <c r="O5" s="5">
        <v>105000</v>
      </c>
      <c r="P5" s="5">
        <v>105000</v>
      </c>
      <c r="Q5" s="5">
        <v>105000</v>
      </c>
      <c r="R5" s="5">
        <v>105000</v>
      </c>
      <c r="S5" s="5">
        <v>105000</v>
      </c>
      <c r="T5" s="5">
        <v>105000</v>
      </c>
      <c r="U5" s="5">
        <v>105000</v>
      </c>
      <c r="V5" s="5">
        <v>95000</v>
      </c>
      <c r="W5" s="5">
        <v>95000</v>
      </c>
    </row>
    <row r="6" spans="1:23" x14ac:dyDescent="0.25">
      <c r="A6" t="s">
        <v>45</v>
      </c>
      <c r="B6" s="5">
        <v>30000</v>
      </c>
      <c r="C6" s="5">
        <v>30000</v>
      </c>
      <c r="D6" s="5">
        <v>30000</v>
      </c>
      <c r="E6" s="5">
        <v>30000</v>
      </c>
      <c r="F6" s="5">
        <v>30000</v>
      </c>
      <c r="G6" s="5">
        <v>30000</v>
      </c>
      <c r="H6" s="5">
        <v>30000</v>
      </c>
      <c r="I6" s="5">
        <v>30000</v>
      </c>
      <c r="J6" s="5">
        <v>30000</v>
      </c>
      <c r="K6" s="5">
        <v>30000</v>
      </c>
      <c r="L6" s="5">
        <v>30000</v>
      </c>
      <c r="M6" s="5">
        <v>30000</v>
      </c>
      <c r="N6" s="5">
        <v>30000</v>
      </c>
      <c r="O6" s="5">
        <v>30000</v>
      </c>
      <c r="P6" s="5">
        <v>30000</v>
      </c>
      <c r="Q6" s="5">
        <v>30000</v>
      </c>
      <c r="R6" s="5">
        <v>30000</v>
      </c>
      <c r="S6" s="5">
        <v>30000</v>
      </c>
      <c r="T6" s="5">
        <v>30000</v>
      </c>
      <c r="U6" s="5">
        <v>30000</v>
      </c>
      <c r="V6" s="5">
        <v>30000</v>
      </c>
      <c r="W6" s="5">
        <v>30000</v>
      </c>
    </row>
    <row r="7" spans="1:23" x14ac:dyDescent="0.25">
      <c r="A7" t="s">
        <v>46</v>
      </c>
      <c r="B7" s="5">
        <v>30000</v>
      </c>
      <c r="C7" s="5">
        <v>30000</v>
      </c>
      <c r="D7" s="5">
        <v>30000</v>
      </c>
      <c r="E7" s="5">
        <v>30000</v>
      </c>
      <c r="F7" s="5">
        <v>30000</v>
      </c>
      <c r="G7" s="5">
        <v>30000</v>
      </c>
      <c r="H7" s="5">
        <v>30000</v>
      </c>
      <c r="I7" s="5">
        <v>30000</v>
      </c>
      <c r="J7" s="5">
        <v>30000</v>
      </c>
      <c r="K7" s="5">
        <v>30000</v>
      </c>
      <c r="L7" s="5">
        <v>30000</v>
      </c>
      <c r="M7" s="5">
        <v>30000</v>
      </c>
      <c r="N7" s="5">
        <v>30000</v>
      </c>
      <c r="O7" s="5">
        <v>30000</v>
      </c>
      <c r="P7" s="5">
        <v>30000</v>
      </c>
      <c r="Q7" s="5">
        <v>30000</v>
      </c>
      <c r="R7" s="5">
        <v>30000</v>
      </c>
      <c r="S7" s="5">
        <v>30000</v>
      </c>
      <c r="T7" s="5">
        <v>30000</v>
      </c>
      <c r="U7" s="5">
        <v>30000</v>
      </c>
      <c r="V7" s="5">
        <v>30000</v>
      </c>
      <c r="W7" s="5">
        <v>30000</v>
      </c>
    </row>
    <row r="8" spans="1:23" x14ac:dyDescent="0.25">
      <c r="A8" t="s">
        <v>47</v>
      </c>
      <c r="B8" s="5">
        <v>30000</v>
      </c>
      <c r="C8" s="5">
        <v>30000</v>
      </c>
      <c r="D8" s="5">
        <v>30000</v>
      </c>
      <c r="E8" s="5">
        <v>30000</v>
      </c>
      <c r="F8" s="5">
        <v>30000</v>
      </c>
      <c r="G8" s="5">
        <v>30000</v>
      </c>
      <c r="H8" s="5">
        <v>30000</v>
      </c>
      <c r="I8" s="5">
        <v>30000</v>
      </c>
      <c r="J8" s="5">
        <v>30000</v>
      </c>
      <c r="K8" s="5">
        <v>30000</v>
      </c>
      <c r="L8" s="5">
        <v>30000</v>
      </c>
      <c r="M8" s="5">
        <v>30000</v>
      </c>
      <c r="N8" s="5">
        <v>30000</v>
      </c>
      <c r="O8" s="5">
        <v>30000</v>
      </c>
      <c r="P8" s="5">
        <v>30000</v>
      </c>
      <c r="Q8" s="5">
        <v>30000</v>
      </c>
      <c r="R8" s="5">
        <v>30000</v>
      </c>
      <c r="S8" s="5">
        <v>30000</v>
      </c>
      <c r="T8" s="5">
        <v>30000</v>
      </c>
      <c r="U8" s="5">
        <v>30000</v>
      </c>
      <c r="V8" s="5">
        <v>30000</v>
      </c>
      <c r="W8" s="5">
        <v>30000</v>
      </c>
    </row>
    <row r="9" spans="1:23" x14ac:dyDescent="0.25">
      <c r="A9" t="s">
        <v>49</v>
      </c>
      <c r="B9" s="5">
        <v>30000</v>
      </c>
      <c r="C9" s="5">
        <v>30000</v>
      </c>
      <c r="D9" s="5">
        <v>30000</v>
      </c>
      <c r="E9" s="5">
        <v>30000</v>
      </c>
      <c r="F9" s="5">
        <v>30000</v>
      </c>
      <c r="G9" s="5">
        <v>30000</v>
      </c>
      <c r="H9" s="5">
        <v>30000</v>
      </c>
      <c r="I9" s="5">
        <v>30000</v>
      </c>
      <c r="J9" s="5">
        <v>30000</v>
      </c>
      <c r="K9" s="5">
        <v>30000</v>
      </c>
      <c r="L9" s="5">
        <v>30000</v>
      </c>
      <c r="M9" s="5">
        <v>30000</v>
      </c>
      <c r="N9" s="5">
        <v>30000</v>
      </c>
      <c r="O9" s="5">
        <v>30000</v>
      </c>
      <c r="P9" s="5">
        <v>30000</v>
      </c>
      <c r="Q9" s="5">
        <v>30000</v>
      </c>
      <c r="R9" s="5">
        <v>30000</v>
      </c>
      <c r="S9" s="5">
        <v>30000</v>
      </c>
      <c r="T9" s="5">
        <v>30000</v>
      </c>
      <c r="U9" s="5">
        <v>30000</v>
      </c>
      <c r="V9" s="5">
        <v>30000</v>
      </c>
      <c r="W9" s="5">
        <v>30000</v>
      </c>
    </row>
    <row r="10" spans="1:23" x14ac:dyDescent="0.25">
      <c r="A10" t="s">
        <v>50</v>
      </c>
      <c r="B10" s="5">
        <v>30000</v>
      </c>
      <c r="C10" s="5">
        <v>30000</v>
      </c>
      <c r="D10" s="5">
        <v>30000</v>
      </c>
      <c r="E10" s="5">
        <v>30000</v>
      </c>
      <c r="F10" s="5">
        <v>30000</v>
      </c>
      <c r="G10" s="5">
        <v>30000</v>
      </c>
      <c r="H10" s="5">
        <v>30000</v>
      </c>
      <c r="I10" s="5">
        <v>30000</v>
      </c>
      <c r="J10" s="5">
        <v>30000</v>
      </c>
      <c r="K10" s="5">
        <v>30000</v>
      </c>
      <c r="L10" s="5">
        <v>30000</v>
      </c>
      <c r="M10" s="5">
        <v>30000</v>
      </c>
      <c r="N10" s="5">
        <v>30000</v>
      </c>
      <c r="O10" s="5">
        <v>30000</v>
      </c>
      <c r="P10" s="5">
        <v>30000</v>
      </c>
      <c r="Q10" s="5">
        <v>30000</v>
      </c>
      <c r="R10" s="5">
        <v>30000</v>
      </c>
      <c r="S10" s="5">
        <v>30000</v>
      </c>
      <c r="T10" s="5">
        <v>30000</v>
      </c>
      <c r="U10" s="5">
        <v>30000</v>
      </c>
      <c r="V10" s="5">
        <v>30000</v>
      </c>
      <c r="W10" s="5">
        <v>30000</v>
      </c>
    </row>
    <row r="11" spans="1:23" x14ac:dyDescent="0.25">
      <c r="A11" t="s">
        <v>55</v>
      </c>
      <c r="B11" s="5">
        <v>100000</v>
      </c>
      <c r="C11" s="5">
        <v>100000</v>
      </c>
      <c r="D11" s="5">
        <v>100000</v>
      </c>
      <c r="E11" s="5">
        <v>100000</v>
      </c>
      <c r="F11" s="5">
        <v>100000</v>
      </c>
      <c r="G11" s="5">
        <v>100000</v>
      </c>
      <c r="H11" s="5">
        <v>100000</v>
      </c>
      <c r="I11" s="5">
        <v>100000</v>
      </c>
      <c r="J11" s="5">
        <v>80000</v>
      </c>
      <c r="K11" s="5">
        <v>80000</v>
      </c>
      <c r="L11" s="5">
        <v>65000</v>
      </c>
      <c r="M11" s="5">
        <v>65000</v>
      </c>
      <c r="N11" s="5">
        <v>50000</v>
      </c>
      <c r="O11" s="5">
        <v>50000</v>
      </c>
      <c r="P11" s="5" t="s">
        <v>56</v>
      </c>
      <c r="Q11" s="5" t="s">
        <v>56</v>
      </c>
      <c r="R11" s="5" t="s">
        <v>56</v>
      </c>
      <c r="S11" s="5" t="s">
        <v>56</v>
      </c>
      <c r="T11" s="5" t="s">
        <v>56</v>
      </c>
      <c r="U11" s="5" t="s">
        <v>56</v>
      </c>
      <c r="V11" s="5" t="s">
        <v>56</v>
      </c>
      <c r="W11" s="5" t="s">
        <v>56</v>
      </c>
    </row>
    <row r="12" spans="1:23" x14ac:dyDescent="0.25">
      <c r="A12" t="s">
        <v>51</v>
      </c>
      <c r="B12" s="5">
        <v>30000</v>
      </c>
      <c r="C12" s="5">
        <v>30000</v>
      </c>
      <c r="D12" s="5">
        <v>30000</v>
      </c>
      <c r="E12" s="5">
        <v>30000</v>
      </c>
      <c r="F12" s="5">
        <v>30000</v>
      </c>
      <c r="G12" s="5">
        <v>30000</v>
      </c>
      <c r="H12" s="5">
        <v>30000</v>
      </c>
      <c r="I12" s="5">
        <v>30000</v>
      </c>
      <c r="J12" s="5">
        <v>30000</v>
      </c>
      <c r="K12" s="5">
        <v>30000</v>
      </c>
      <c r="L12" s="5">
        <v>30000</v>
      </c>
      <c r="M12" s="5">
        <v>30000</v>
      </c>
      <c r="N12" s="5">
        <v>30000</v>
      </c>
      <c r="O12" s="5">
        <v>30000</v>
      </c>
      <c r="P12" s="5">
        <v>30000</v>
      </c>
      <c r="Q12" s="5">
        <v>30000</v>
      </c>
      <c r="R12" s="5">
        <v>30000</v>
      </c>
      <c r="S12" s="5">
        <v>30000</v>
      </c>
      <c r="T12" s="5">
        <v>30000</v>
      </c>
      <c r="U12" s="5">
        <v>30000</v>
      </c>
      <c r="V12" s="5">
        <v>30000</v>
      </c>
      <c r="W12" s="5">
        <v>30000</v>
      </c>
    </row>
    <row r="13" spans="1:23" x14ac:dyDescent="0.25">
      <c r="A13" t="s">
        <v>57</v>
      </c>
      <c r="B13" s="5">
        <v>100000</v>
      </c>
      <c r="C13" s="5">
        <v>100000</v>
      </c>
      <c r="D13" s="5">
        <v>100000</v>
      </c>
      <c r="E13" s="5">
        <v>100000</v>
      </c>
      <c r="F13" s="5">
        <v>100000</v>
      </c>
      <c r="G13" s="5">
        <v>100000</v>
      </c>
      <c r="H13" s="5">
        <v>100000</v>
      </c>
      <c r="I13" s="5">
        <v>100000</v>
      </c>
      <c r="J13" s="5">
        <v>80000</v>
      </c>
      <c r="K13" s="5">
        <v>80000</v>
      </c>
      <c r="L13" s="5">
        <v>65000</v>
      </c>
      <c r="M13" s="5">
        <v>65000</v>
      </c>
      <c r="N13" s="5">
        <v>50000</v>
      </c>
      <c r="O13" s="5">
        <v>50000</v>
      </c>
      <c r="P13" s="5" t="s">
        <v>56</v>
      </c>
      <c r="Q13" s="5" t="s">
        <v>56</v>
      </c>
      <c r="R13" s="5" t="s">
        <v>56</v>
      </c>
      <c r="S13" s="5" t="s">
        <v>56</v>
      </c>
      <c r="T13" s="5" t="s">
        <v>56</v>
      </c>
      <c r="U13" s="5" t="s">
        <v>56</v>
      </c>
      <c r="V13" s="5" t="s">
        <v>56</v>
      </c>
      <c r="W13" s="5" t="s">
        <v>56</v>
      </c>
    </row>
    <row r="14" spans="1:23" x14ac:dyDescent="0.25">
      <c r="A14" t="s">
        <v>53</v>
      </c>
      <c r="B14" s="5">
        <v>30000</v>
      </c>
      <c r="C14" s="5">
        <v>30000</v>
      </c>
      <c r="D14" s="5">
        <v>30000</v>
      </c>
      <c r="E14" s="5">
        <v>30000</v>
      </c>
      <c r="F14" s="5">
        <v>30000</v>
      </c>
      <c r="G14" s="5">
        <v>30000</v>
      </c>
      <c r="H14" s="5">
        <v>30000</v>
      </c>
      <c r="I14" s="5">
        <v>30000</v>
      </c>
      <c r="J14" s="5">
        <v>30000</v>
      </c>
      <c r="K14" s="5">
        <v>30000</v>
      </c>
      <c r="L14" s="5">
        <v>30000</v>
      </c>
      <c r="M14" s="5">
        <v>30000</v>
      </c>
      <c r="N14" s="5">
        <v>30000</v>
      </c>
      <c r="O14" s="5">
        <v>30000</v>
      </c>
      <c r="P14" s="5">
        <v>30000</v>
      </c>
      <c r="Q14" s="5">
        <v>30000</v>
      </c>
      <c r="R14" s="5">
        <v>30000</v>
      </c>
      <c r="S14" s="5">
        <v>30000</v>
      </c>
      <c r="T14" s="5">
        <v>30000</v>
      </c>
      <c r="U14" s="5">
        <v>30000</v>
      </c>
      <c r="V14" s="5">
        <v>30000</v>
      </c>
      <c r="W14" s="5">
        <v>30000</v>
      </c>
    </row>
    <row r="15" spans="1:23" x14ac:dyDescent="0.25">
      <c r="A15" t="s">
        <v>58</v>
      </c>
      <c r="B15" s="5">
        <v>100000</v>
      </c>
      <c r="C15" s="5">
        <v>100000</v>
      </c>
      <c r="D15" s="5">
        <v>100000</v>
      </c>
      <c r="E15" s="5">
        <v>100000</v>
      </c>
      <c r="F15" s="5">
        <v>100000</v>
      </c>
      <c r="G15" s="5">
        <v>100000</v>
      </c>
      <c r="H15" s="5">
        <v>100000</v>
      </c>
      <c r="I15" s="5">
        <v>100000</v>
      </c>
      <c r="J15" s="5">
        <v>80000</v>
      </c>
      <c r="K15" s="5">
        <v>80000</v>
      </c>
      <c r="L15" s="5">
        <v>65000</v>
      </c>
      <c r="M15" s="5">
        <v>65000</v>
      </c>
      <c r="N15" s="5">
        <v>50000</v>
      </c>
      <c r="O15" s="5">
        <v>50000</v>
      </c>
      <c r="P15" s="5" t="s">
        <v>56</v>
      </c>
      <c r="Q15" s="5" t="s">
        <v>56</v>
      </c>
      <c r="R15" s="5" t="s">
        <v>56</v>
      </c>
      <c r="S15" s="5" t="s">
        <v>56</v>
      </c>
      <c r="T15" s="5" t="s">
        <v>56</v>
      </c>
      <c r="U15" s="5" t="s">
        <v>56</v>
      </c>
      <c r="V15" s="5" t="s">
        <v>56</v>
      </c>
      <c r="W15" s="5" t="s">
        <v>56</v>
      </c>
    </row>
    <row r="16" spans="1:23" x14ac:dyDescent="0.25">
      <c r="A16" t="s">
        <v>54</v>
      </c>
      <c r="B16" s="5">
        <v>30000</v>
      </c>
      <c r="C16" s="5">
        <v>30000</v>
      </c>
      <c r="D16" s="5">
        <v>30000</v>
      </c>
      <c r="E16" s="5">
        <v>30000</v>
      </c>
      <c r="F16" s="5">
        <v>30000</v>
      </c>
      <c r="G16" s="5">
        <v>30000</v>
      </c>
      <c r="H16" s="5">
        <v>30000</v>
      </c>
      <c r="I16" s="5">
        <v>30000</v>
      </c>
      <c r="J16" s="5">
        <v>30000</v>
      </c>
      <c r="K16" s="5">
        <v>30000</v>
      </c>
      <c r="L16" s="5">
        <v>30000</v>
      </c>
      <c r="M16" s="5">
        <v>30000</v>
      </c>
      <c r="N16" s="5">
        <v>30000</v>
      </c>
      <c r="O16" s="5">
        <v>30000</v>
      </c>
      <c r="P16" s="5">
        <v>30000</v>
      </c>
      <c r="Q16" s="5">
        <v>30000</v>
      </c>
      <c r="R16" s="5">
        <v>30000</v>
      </c>
      <c r="S16" s="5">
        <v>30000</v>
      </c>
      <c r="T16" s="5">
        <v>30000</v>
      </c>
      <c r="U16" s="5">
        <v>30000</v>
      </c>
      <c r="V16" s="5">
        <v>30000</v>
      </c>
      <c r="W16" s="5">
        <v>30000</v>
      </c>
    </row>
    <row r="17" spans="1:23" x14ac:dyDescent="0.25">
      <c r="A17" t="s">
        <v>59</v>
      </c>
      <c r="B17" s="5">
        <v>100000</v>
      </c>
      <c r="C17" s="5">
        <v>100000</v>
      </c>
      <c r="D17" s="5">
        <v>100000</v>
      </c>
      <c r="E17" s="5">
        <v>100000</v>
      </c>
      <c r="F17" s="5">
        <v>100000</v>
      </c>
      <c r="G17" s="5">
        <v>100000</v>
      </c>
      <c r="H17" s="5">
        <v>100000</v>
      </c>
      <c r="I17" s="5">
        <v>100000</v>
      </c>
      <c r="J17" s="5">
        <v>80000</v>
      </c>
      <c r="K17" s="5">
        <v>80000</v>
      </c>
      <c r="L17" s="5">
        <v>65000</v>
      </c>
      <c r="M17" s="5">
        <v>65000</v>
      </c>
      <c r="N17" s="5">
        <v>50000</v>
      </c>
      <c r="O17" s="5">
        <v>50000</v>
      </c>
      <c r="P17" s="5" t="s">
        <v>56</v>
      </c>
      <c r="Q17" s="5" t="s">
        <v>56</v>
      </c>
      <c r="R17" s="5" t="s">
        <v>56</v>
      </c>
      <c r="S17" s="5" t="s">
        <v>56</v>
      </c>
      <c r="T17" s="5" t="s">
        <v>56</v>
      </c>
      <c r="U17" s="5" t="s">
        <v>56</v>
      </c>
      <c r="V17" s="5" t="s">
        <v>56</v>
      </c>
      <c r="W17" s="5" t="s">
        <v>56</v>
      </c>
    </row>
    <row r="18" spans="1:23" x14ac:dyDescent="0.25">
      <c r="A18" t="s">
        <v>52</v>
      </c>
      <c r="B18" s="5">
        <v>30000</v>
      </c>
      <c r="C18" s="5">
        <v>30000</v>
      </c>
      <c r="D18" s="5">
        <v>30000</v>
      </c>
      <c r="E18" s="5">
        <v>30000</v>
      </c>
      <c r="F18" s="5">
        <v>30000</v>
      </c>
      <c r="G18" s="5">
        <v>30000</v>
      </c>
      <c r="H18" s="5">
        <v>30000</v>
      </c>
      <c r="I18" s="5">
        <v>30000</v>
      </c>
      <c r="J18" s="5">
        <v>30000</v>
      </c>
      <c r="K18" s="5">
        <v>30000</v>
      </c>
      <c r="L18" s="5">
        <v>30000</v>
      </c>
      <c r="M18" s="5">
        <v>30000</v>
      </c>
      <c r="N18" s="5">
        <v>30000</v>
      </c>
      <c r="O18" s="5">
        <v>30000</v>
      </c>
      <c r="P18" s="5">
        <v>30000</v>
      </c>
      <c r="Q18" s="5">
        <v>30000</v>
      </c>
      <c r="R18" s="5">
        <v>30000</v>
      </c>
      <c r="S18" s="5">
        <v>30000</v>
      </c>
      <c r="T18" s="5">
        <v>30000</v>
      </c>
      <c r="U18" s="5">
        <v>30000</v>
      </c>
      <c r="V18" s="5">
        <v>30000</v>
      </c>
      <c r="W18" s="5">
        <v>30000</v>
      </c>
    </row>
    <row r="19" spans="1:23" x14ac:dyDescent="0.25">
      <c r="A19" t="s">
        <v>60</v>
      </c>
      <c r="B19" s="5">
        <v>100000</v>
      </c>
      <c r="C19" s="5">
        <v>100000</v>
      </c>
      <c r="D19" s="5">
        <v>100000</v>
      </c>
      <c r="E19" s="5">
        <v>100000</v>
      </c>
      <c r="F19" s="5">
        <v>100000</v>
      </c>
      <c r="G19" s="5">
        <v>100000</v>
      </c>
      <c r="H19" s="5">
        <v>100000</v>
      </c>
      <c r="I19" s="5">
        <v>100000</v>
      </c>
      <c r="J19" s="5">
        <v>80000</v>
      </c>
      <c r="K19" s="5">
        <v>80000</v>
      </c>
      <c r="L19" s="5">
        <v>65000</v>
      </c>
      <c r="M19" s="5">
        <v>65000</v>
      </c>
      <c r="N19" s="5">
        <v>50000</v>
      </c>
      <c r="O19" s="5">
        <v>50000</v>
      </c>
      <c r="P19" s="5" t="s">
        <v>56</v>
      </c>
      <c r="Q19" s="5" t="s">
        <v>56</v>
      </c>
      <c r="R19" s="5" t="s">
        <v>56</v>
      </c>
      <c r="S19" s="5" t="s">
        <v>56</v>
      </c>
      <c r="T19" s="5" t="s">
        <v>56</v>
      </c>
      <c r="U19" s="5" t="s">
        <v>56</v>
      </c>
      <c r="V19" s="5" t="s">
        <v>56</v>
      </c>
      <c r="W19" s="5" t="s">
        <v>56</v>
      </c>
    </row>
    <row r="20" spans="1:23" x14ac:dyDescent="0.25">
      <c r="A20" t="s">
        <v>61</v>
      </c>
      <c r="B20" s="5" t="s">
        <v>56</v>
      </c>
      <c r="C20" s="5" t="s">
        <v>56</v>
      </c>
      <c r="D20" s="5" t="s">
        <v>56</v>
      </c>
      <c r="E20" s="5" t="s">
        <v>56</v>
      </c>
      <c r="F20" s="5">
        <v>92000</v>
      </c>
      <c r="G20" s="5">
        <v>92000</v>
      </c>
      <c r="H20" s="5">
        <v>92000</v>
      </c>
      <c r="I20" s="5">
        <v>92000</v>
      </c>
      <c r="J20" s="5">
        <v>92000</v>
      </c>
      <c r="K20" s="5">
        <v>92000</v>
      </c>
      <c r="L20" s="5">
        <v>81000</v>
      </c>
      <c r="M20" s="5">
        <v>81000</v>
      </c>
      <c r="N20" s="5">
        <v>81000</v>
      </c>
      <c r="O20" s="5">
        <v>81000</v>
      </c>
      <c r="P20" s="5" t="s">
        <v>56</v>
      </c>
      <c r="Q20" s="5" t="s">
        <v>56</v>
      </c>
      <c r="R20" s="5" t="s">
        <v>56</v>
      </c>
      <c r="S20" s="5" t="s">
        <v>56</v>
      </c>
      <c r="T20" s="5" t="s">
        <v>56</v>
      </c>
      <c r="U20" s="5" t="s">
        <v>56</v>
      </c>
      <c r="V20" s="5" t="s">
        <v>56</v>
      </c>
      <c r="W20" s="5" t="s">
        <v>56</v>
      </c>
    </row>
    <row r="21" spans="1:23" x14ac:dyDescent="0.25">
      <c r="A21" t="s">
        <v>62</v>
      </c>
      <c r="B21" s="5" t="s">
        <v>56</v>
      </c>
      <c r="C21" s="5" t="s">
        <v>56</v>
      </c>
      <c r="D21" s="5" t="s">
        <v>56</v>
      </c>
      <c r="E21" s="5" t="s">
        <v>56</v>
      </c>
      <c r="F21" s="5">
        <v>92000</v>
      </c>
      <c r="G21" s="5">
        <v>92000</v>
      </c>
      <c r="H21" s="5">
        <v>92000</v>
      </c>
      <c r="I21" s="5">
        <v>92000</v>
      </c>
      <c r="J21" s="5">
        <v>92000</v>
      </c>
      <c r="K21" s="5">
        <v>92000</v>
      </c>
      <c r="L21" s="5" t="s">
        <v>56</v>
      </c>
      <c r="M21" s="5" t="s">
        <v>56</v>
      </c>
      <c r="N21" s="5" t="s">
        <v>56</v>
      </c>
      <c r="O21" s="5" t="s">
        <v>56</v>
      </c>
      <c r="P21" s="5" t="s">
        <v>56</v>
      </c>
      <c r="Q21" s="5" t="s">
        <v>56</v>
      </c>
      <c r="R21" s="5" t="s">
        <v>56</v>
      </c>
      <c r="S21" s="5" t="s">
        <v>56</v>
      </c>
      <c r="T21" s="5" t="s">
        <v>56</v>
      </c>
      <c r="U21" s="5" t="s">
        <v>56</v>
      </c>
      <c r="V21" s="5" t="s">
        <v>56</v>
      </c>
      <c r="W21" s="5" t="s">
        <v>56</v>
      </c>
    </row>
    <row r="22" spans="1:23" x14ac:dyDescent="0.25">
      <c r="A22" t="s">
        <v>63</v>
      </c>
      <c r="B22" s="5" t="s">
        <v>56</v>
      </c>
      <c r="C22" s="5" t="s">
        <v>56</v>
      </c>
      <c r="D22" s="5" t="s">
        <v>56</v>
      </c>
      <c r="E22" s="5" t="s">
        <v>56</v>
      </c>
      <c r="F22" s="5">
        <v>92000</v>
      </c>
      <c r="G22" s="5">
        <v>92000</v>
      </c>
      <c r="H22" s="5">
        <v>92000</v>
      </c>
      <c r="I22" s="5">
        <v>92000</v>
      </c>
      <c r="J22" s="5">
        <v>92000</v>
      </c>
      <c r="K22" s="5">
        <v>92000</v>
      </c>
      <c r="L22" s="5">
        <v>81000</v>
      </c>
      <c r="M22" s="5">
        <v>81000</v>
      </c>
      <c r="N22" s="5">
        <v>81000</v>
      </c>
      <c r="O22" s="5">
        <v>81000</v>
      </c>
      <c r="P22" s="5" t="s">
        <v>56</v>
      </c>
      <c r="Q22" s="5" t="s">
        <v>56</v>
      </c>
      <c r="R22" s="5" t="s">
        <v>56</v>
      </c>
      <c r="S22" s="5" t="s">
        <v>56</v>
      </c>
      <c r="T22" s="5" t="s">
        <v>56</v>
      </c>
      <c r="U22" s="5" t="s">
        <v>56</v>
      </c>
      <c r="V22" s="5" t="s">
        <v>56</v>
      </c>
      <c r="W22" s="5" t="s">
        <v>56</v>
      </c>
    </row>
    <row r="23" spans="1:23" x14ac:dyDescent="0.25">
      <c r="A23" t="s">
        <v>64</v>
      </c>
      <c r="B23" s="5">
        <v>83000</v>
      </c>
      <c r="C23" s="5">
        <v>83000</v>
      </c>
      <c r="D23" s="5">
        <v>83000</v>
      </c>
      <c r="E23" s="5">
        <v>83000</v>
      </c>
      <c r="F23" s="5">
        <v>83000</v>
      </c>
      <c r="G23" s="5">
        <v>83000</v>
      </c>
      <c r="H23" s="5">
        <v>83000</v>
      </c>
      <c r="I23" s="5">
        <v>83000</v>
      </c>
      <c r="J23" s="5">
        <v>83000</v>
      </c>
      <c r="K23" s="5">
        <v>83000</v>
      </c>
      <c r="L23" s="5">
        <v>83000</v>
      </c>
      <c r="M23" s="5">
        <v>83000</v>
      </c>
      <c r="N23" s="5">
        <v>83000</v>
      </c>
      <c r="O23" s="5">
        <v>83000</v>
      </c>
      <c r="P23" s="5">
        <v>83000</v>
      </c>
      <c r="Q23" s="5">
        <v>83000</v>
      </c>
      <c r="R23" s="5">
        <v>83000</v>
      </c>
      <c r="S23" s="5">
        <v>83000</v>
      </c>
      <c r="T23" s="5">
        <v>83000</v>
      </c>
      <c r="U23" s="5">
        <v>83000</v>
      </c>
      <c r="V23" s="5">
        <v>78000</v>
      </c>
      <c r="W23" s="5">
        <v>78000</v>
      </c>
    </row>
    <row r="24" spans="1:23" x14ac:dyDescent="0.25">
      <c r="A24" t="s">
        <v>65</v>
      </c>
      <c r="B24" s="5">
        <v>109000</v>
      </c>
      <c r="C24" s="5">
        <v>109000</v>
      </c>
      <c r="D24" s="5">
        <v>109000</v>
      </c>
      <c r="E24" s="5">
        <v>109000</v>
      </c>
      <c r="F24" s="5">
        <v>109000</v>
      </c>
      <c r="G24" s="5">
        <v>109000</v>
      </c>
      <c r="H24" s="5">
        <v>109000</v>
      </c>
      <c r="I24" s="5">
        <v>109000</v>
      </c>
      <c r="J24" s="5">
        <v>109000</v>
      </c>
      <c r="K24" s="5">
        <v>109000</v>
      </c>
      <c r="L24" s="5">
        <v>109000</v>
      </c>
      <c r="M24" s="5">
        <v>109000</v>
      </c>
      <c r="N24" s="5">
        <v>109000</v>
      </c>
      <c r="O24" s="5">
        <v>109000</v>
      </c>
      <c r="P24" s="5">
        <v>109000</v>
      </c>
      <c r="Q24" s="5">
        <v>109000</v>
      </c>
      <c r="R24" s="5">
        <v>109000</v>
      </c>
      <c r="S24" s="5">
        <v>109000</v>
      </c>
      <c r="T24" s="5">
        <v>109000</v>
      </c>
      <c r="U24" s="5">
        <v>109000</v>
      </c>
      <c r="V24" s="5">
        <v>99000</v>
      </c>
      <c r="W24" s="5">
        <v>99000</v>
      </c>
    </row>
    <row r="25" spans="1:23" x14ac:dyDescent="0.25">
      <c r="A25" t="s">
        <v>66</v>
      </c>
      <c r="B25" s="5">
        <v>130000</v>
      </c>
      <c r="C25" s="5">
        <v>130000</v>
      </c>
      <c r="D25" s="5">
        <v>130000</v>
      </c>
      <c r="E25" s="5">
        <v>130000</v>
      </c>
      <c r="F25" s="5">
        <v>130000</v>
      </c>
      <c r="G25" s="5">
        <v>130000</v>
      </c>
      <c r="H25" s="5">
        <v>130000</v>
      </c>
      <c r="I25" s="5">
        <v>130000</v>
      </c>
      <c r="J25" s="5">
        <v>130000</v>
      </c>
      <c r="K25" s="5">
        <v>130000</v>
      </c>
      <c r="L25" s="5">
        <v>130000</v>
      </c>
      <c r="M25" s="5">
        <v>130000</v>
      </c>
      <c r="N25" s="5">
        <v>130000</v>
      </c>
      <c r="O25" s="5">
        <v>130000</v>
      </c>
      <c r="P25" s="5" t="s">
        <v>56</v>
      </c>
      <c r="Q25" s="5" t="s">
        <v>56</v>
      </c>
      <c r="R25" s="5" t="s">
        <v>56</v>
      </c>
      <c r="S25" s="5" t="s">
        <v>56</v>
      </c>
      <c r="T25" s="5" t="s">
        <v>56</v>
      </c>
      <c r="U25" s="5" t="s">
        <v>56</v>
      </c>
      <c r="V25" s="5" t="s">
        <v>56</v>
      </c>
      <c r="W25" s="5" t="s">
        <v>56</v>
      </c>
    </row>
    <row r="26" spans="1:23" x14ac:dyDescent="0.25">
      <c r="A26" t="s">
        <v>67</v>
      </c>
      <c r="B26" s="5">
        <v>92000</v>
      </c>
      <c r="C26" s="5">
        <v>92000</v>
      </c>
      <c r="D26" s="5">
        <v>92000</v>
      </c>
      <c r="E26" s="5">
        <v>92000</v>
      </c>
      <c r="F26" s="5">
        <v>92000</v>
      </c>
      <c r="G26" s="5">
        <v>92000</v>
      </c>
      <c r="H26" s="5">
        <v>92000</v>
      </c>
      <c r="I26" s="5">
        <v>92000</v>
      </c>
      <c r="J26" s="5">
        <v>92000</v>
      </c>
      <c r="K26" s="5">
        <v>92000</v>
      </c>
      <c r="L26" s="5">
        <v>81000</v>
      </c>
      <c r="M26" s="5">
        <v>81000</v>
      </c>
      <c r="N26" s="5">
        <v>81000</v>
      </c>
      <c r="O26" s="5">
        <v>81000</v>
      </c>
      <c r="P26" s="5">
        <v>58000</v>
      </c>
      <c r="Q26" s="5">
        <v>58000</v>
      </c>
      <c r="R26" s="5">
        <v>58000</v>
      </c>
      <c r="S26" s="5">
        <v>58000</v>
      </c>
      <c r="T26" s="5">
        <v>58000</v>
      </c>
      <c r="U26" s="5">
        <v>58000</v>
      </c>
      <c r="V26" s="5">
        <v>58000</v>
      </c>
      <c r="W26" s="5">
        <v>58000</v>
      </c>
    </row>
    <row r="27" spans="1:23" x14ac:dyDescent="0.25">
      <c r="A27" t="s">
        <v>68</v>
      </c>
      <c r="B27" s="5">
        <v>130000</v>
      </c>
      <c r="C27" s="5">
        <v>130000</v>
      </c>
      <c r="D27" s="5">
        <v>130000</v>
      </c>
      <c r="E27" s="5">
        <v>130000</v>
      </c>
      <c r="F27" s="5">
        <v>130000</v>
      </c>
      <c r="G27" s="5">
        <v>130000</v>
      </c>
      <c r="H27" s="5">
        <v>130000</v>
      </c>
      <c r="I27" s="5">
        <v>130000</v>
      </c>
      <c r="J27" s="5">
        <v>130000</v>
      </c>
      <c r="K27" s="5">
        <v>130000</v>
      </c>
      <c r="L27" s="5">
        <v>130000</v>
      </c>
      <c r="M27" s="5">
        <v>130000</v>
      </c>
      <c r="N27" s="5">
        <v>130000</v>
      </c>
      <c r="O27" s="5">
        <v>130000</v>
      </c>
      <c r="P27" s="5" t="s">
        <v>56</v>
      </c>
      <c r="Q27" s="5" t="s">
        <v>56</v>
      </c>
      <c r="R27" s="5" t="s">
        <v>56</v>
      </c>
      <c r="S27" s="5" t="s">
        <v>56</v>
      </c>
      <c r="T27" s="5" t="s">
        <v>56</v>
      </c>
      <c r="U27" s="5" t="s">
        <v>56</v>
      </c>
      <c r="V27" s="5" t="s">
        <v>56</v>
      </c>
      <c r="W27" s="5" t="s">
        <v>56</v>
      </c>
    </row>
    <row r="28" spans="1:23" x14ac:dyDescent="0.25">
      <c r="A28" t="s">
        <v>72</v>
      </c>
      <c r="B28" s="5">
        <v>130000</v>
      </c>
      <c r="C28" s="5">
        <v>130000</v>
      </c>
      <c r="D28" s="5">
        <v>130000</v>
      </c>
      <c r="E28" s="5">
        <v>130000</v>
      </c>
      <c r="F28" s="5">
        <v>130000</v>
      </c>
      <c r="G28" s="5">
        <v>130000</v>
      </c>
      <c r="H28" s="5">
        <v>130000</v>
      </c>
      <c r="I28" s="5">
        <v>130000</v>
      </c>
      <c r="J28" s="5">
        <v>130000</v>
      </c>
      <c r="K28" s="5">
        <v>130000</v>
      </c>
      <c r="L28" s="5">
        <v>130000</v>
      </c>
      <c r="M28" s="5">
        <v>130000</v>
      </c>
      <c r="N28" s="5">
        <v>130000</v>
      </c>
      <c r="O28" s="5">
        <v>130000</v>
      </c>
      <c r="P28" s="5" t="s">
        <v>56</v>
      </c>
      <c r="Q28" s="5" t="s">
        <v>56</v>
      </c>
      <c r="R28" s="5" t="s">
        <v>56</v>
      </c>
      <c r="S28" s="5" t="s">
        <v>56</v>
      </c>
      <c r="T28" s="5" t="s">
        <v>56</v>
      </c>
      <c r="U28" s="5" t="s">
        <v>56</v>
      </c>
      <c r="V28" s="5" t="s">
        <v>56</v>
      </c>
      <c r="W28" s="5" t="s">
        <v>56</v>
      </c>
    </row>
    <row r="29" spans="1:23" x14ac:dyDescent="0.25">
      <c r="A29" t="s">
        <v>69</v>
      </c>
      <c r="B29" s="5">
        <v>36000</v>
      </c>
      <c r="C29" s="5">
        <v>36000</v>
      </c>
      <c r="D29" s="5">
        <v>36000</v>
      </c>
      <c r="E29" s="5">
        <v>36000</v>
      </c>
      <c r="F29" s="5">
        <v>36000</v>
      </c>
      <c r="G29" s="5">
        <v>36000</v>
      </c>
      <c r="H29" s="5">
        <v>36000</v>
      </c>
      <c r="I29" s="5">
        <v>36000</v>
      </c>
      <c r="J29" s="5">
        <v>36000</v>
      </c>
      <c r="K29" s="5">
        <v>36000</v>
      </c>
      <c r="L29" s="5">
        <v>36000</v>
      </c>
      <c r="M29" s="5">
        <v>36000</v>
      </c>
      <c r="N29" s="5">
        <v>36000</v>
      </c>
      <c r="O29" s="5">
        <v>36000</v>
      </c>
      <c r="P29" s="5" t="s">
        <v>56</v>
      </c>
      <c r="Q29" s="5" t="s">
        <v>56</v>
      </c>
      <c r="R29" s="5" t="s">
        <v>56</v>
      </c>
      <c r="S29" s="5" t="s">
        <v>56</v>
      </c>
      <c r="T29" s="5" t="s">
        <v>56</v>
      </c>
      <c r="U29" s="5" t="s">
        <v>56</v>
      </c>
      <c r="V29" s="5" t="s">
        <v>56</v>
      </c>
      <c r="W29" s="5" t="s">
        <v>56</v>
      </c>
    </row>
    <row r="30" spans="1:23" x14ac:dyDescent="0.25">
      <c r="A30" t="s">
        <v>70</v>
      </c>
      <c r="B30" s="5">
        <v>57000</v>
      </c>
      <c r="C30" s="5">
        <v>57000</v>
      </c>
      <c r="D30" s="5">
        <v>57000</v>
      </c>
      <c r="E30" s="5">
        <v>57000</v>
      </c>
      <c r="F30" s="5">
        <v>57000</v>
      </c>
      <c r="G30" s="5">
        <v>57000</v>
      </c>
      <c r="H30" s="5">
        <v>57000</v>
      </c>
      <c r="I30" s="5">
        <v>57000</v>
      </c>
      <c r="J30" s="5">
        <v>57000</v>
      </c>
      <c r="K30" s="5">
        <v>57000</v>
      </c>
      <c r="L30" s="5">
        <v>57000</v>
      </c>
      <c r="M30" s="5">
        <v>57000</v>
      </c>
      <c r="N30" s="5">
        <v>57000</v>
      </c>
      <c r="O30" s="5">
        <v>57000</v>
      </c>
      <c r="P30" s="5" t="s">
        <v>56</v>
      </c>
      <c r="Q30" s="5" t="s">
        <v>56</v>
      </c>
      <c r="R30" s="5" t="s">
        <v>56</v>
      </c>
      <c r="S30" s="5" t="s">
        <v>56</v>
      </c>
      <c r="T30" s="5" t="s">
        <v>56</v>
      </c>
      <c r="U30" s="5" t="s">
        <v>56</v>
      </c>
      <c r="V30" s="5" t="s">
        <v>56</v>
      </c>
      <c r="W30" s="5" t="s">
        <v>56</v>
      </c>
    </row>
    <row r="31" spans="1:23" x14ac:dyDescent="0.25">
      <c r="A31" t="s">
        <v>71</v>
      </c>
      <c r="B31" s="5">
        <v>92000</v>
      </c>
      <c r="C31" s="5">
        <v>92000</v>
      </c>
      <c r="D31" s="5">
        <v>92000</v>
      </c>
      <c r="E31" s="5">
        <v>92000</v>
      </c>
      <c r="F31" s="5">
        <v>92000</v>
      </c>
      <c r="G31" s="5">
        <v>92000</v>
      </c>
      <c r="H31" s="5">
        <v>92000</v>
      </c>
      <c r="I31" s="5">
        <v>92000</v>
      </c>
      <c r="J31" s="5">
        <v>92000</v>
      </c>
      <c r="K31" s="5">
        <v>92000</v>
      </c>
      <c r="L31" s="5">
        <v>92000</v>
      </c>
      <c r="M31" s="5">
        <v>92000</v>
      </c>
      <c r="N31" s="5">
        <v>92000</v>
      </c>
      <c r="O31" s="5">
        <v>92000</v>
      </c>
      <c r="P31" s="5" t="s">
        <v>56</v>
      </c>
      <c r="Q31" s="5" t="s">
        <v>56</v>
      </c>
      <c r="R31" s="5" t="s">
        <v>56</v>
      </c>
      <c r="S31" s="5" t="s">
        <v>56</v>
      </c>
      <c r="T31" s="5" t="s">
        <v>56</v>
      </c>
      <c r="U31" s="5" t="s">
        <v>56</v>
      </c>
      <c r="V31" s="5" t="s">
        <v>56</v>
      </c>
      <c r="W31" s="5" t="s">
        <v>56</v>
      </c>
    </row>
    <row r="32" spans="1:23" x14ac:dyDescent="0.25">
      <c r="A32" t="s">
        <v>73</v>
      </c>
      <c r="B32" s="5">
        <v>36000</v>
      </c>
      <c r="C32" s="5">
        <v>36000</v>
      </c>
      <c r="D32" s="5">
        <v>36000</v>
      </c>
      <c r="E32" s="5">
        <v>36000</v>
      </c>
      <c r="F32" s="5">
        <v>36000</v>
      </c>
      <c r="G32" s="5">
        <v>36000</v>
      </c>
      <c r="H32" s="5">
        <v>36000</v>
      </c>
      <c r="I32" s="5">
        <v>36000</v>
      </c>
      <c r="J32" s="5">
        <v>36000</v>
      </c>
      <c r="K32" s="5">
        <v>36000</v>
      </c>
      <c r="L32" s="5">
        <v>36000</v>
      </c>
      <c r="M32" s="5">
        <v>36000</v>
      </c>
      <c r="N32" s="5">
        <v>36000</v>
      </c>
      <c r="O32" s="5">
        <v>36000</v>
      </c>
      <c r="P32" s="5" t="s">
        <v>56</v>
      </c>
      <c r="Q32" s="5" t="s">
        <v>56</v>
      </c>
      <c r="R32" s="5" t="s">
        <v>56</v>
      </c>
      <c r="S32" s="5" t="s">
        <v>56</v>
      </c>
      <c r="T32" s="5" t="s">
        <v>56</v>
      </c>
      <c r="U32" s="5" t="s">
        <v>56</v>
      </c>
      <c r="V32" s="5" t="s">
        <v>56</v>
      </c>
      <c r="W32" s="5" t="s">
        <v>56</v>
      </c>
    </row>
    <row r="33" spans="1:23" x14ac:dyDescent="0.25">
      <c r="A33" t="s">
        <v>74</v>
      </c>
      <c r="B33" s="5">
        <v>57000</v>
      </c>
      <c r="C33" s="5">
        <v>57000</v>
      </c>
      <c r="D33" s="5">
        <v>57000</v>
      </c>
      <c r="E33" s="5">
        <v>57000</v>
      </c>
      <c r="F33" s="5">
        <v>57000</v>
      </c>
      <c r="G33" s="5">
        <v>57000</v>
      </c>
      <c r="H33" s="5">
        <v>57000</v>
      </c>
      <c r="I33" s="5">
        <v>57000</v>
      </c>
      <c r="J33" s="5">
        <v>36000</v>
      </c>
      <c r="K33" s="5">
        <v>36000</v>
      </c>
      <c r="L33" s="5">
        <v>36000</v>
      </c>
      <c r="M33" s="5">
        <v>36000</v>
      </c>
      <c r="N33" s="5">
        <v>36000</v>
      </c>
      <c r="O33" s="5">
        <v>36000</v>
      </c>
      <c r="P33" s="5" t="s">
        <v>56</v>
      </c>
      <c r="Q33" s="5" t="s">
        <v>56</v>
      </c>
      <c r="R33" s="5" t="s">
        <v>56</v>
      </c>
      <c r="S33" s="5" t="s">
        <v>56</v>
      </c>
      <c r="T33" s="5" t="s">
        <v>56</v>
      </c>
      <c r="U33" s="5" t="s">
        <v>56</v>
      </c>
      <c r="V33" s="5" t="s">
        <v>56</v>
      </c>
      <c r="W33" s="5" t="s">
        <v>56</v>
      </c>
    </row>
    <row r="34" spans="1:23" x14ac:dyDescent="0.25">
      <c r="A34" t="s">
        <v>75</v>
      </c>
      <c r="B34" s="5">
        <v>100000</v>
      </c>
      <c r="C34" s="5">
        <v>100000</v>
      </c>
      <c r="D34" s="5">
        <v>100000</v>
      </c>
      <c r="E34" s="5">
        <v>100000</v>
      </c>
      <c r="F34" s="5">
        <v>100000</v>
      </c>
      <c r="G34" s="5">
        <v>100000</v>
      </c>
      <c r="H34" s="5">
        <v>100000</v>
      </c>
      <c r="I34" s="5">
        <v>100000</v>
      </c>
      <c r="J34" s="5">
        <v>100000</v>
      </c>
      <c r="K34" s="5">
        <v>100000</v>
      </c>
      <c r="L34" s="5">
        <v>100000</v>
      </c>
      <c r="M34" s="5">
        <v>100000</v>
      </c>
      <c r="N34" s="5">
        <v>100000</v>
      </c>
      <c r="O34" s="5">
        <v>100000</v>
      </c>
      <c r="P34" s="5" t="s">
        <v>56</v>
      </c>
      <c r="Q34" s="5" t="s">
        <v>56</v>
      </c>
      <c r="R34" s="5" t="s">
        <v>56</v>
      </c>
      <c r="S34" s="5" t="s">
        <v>56</v>
      </c>
      <c r="T34" s="5" t="s">
        <v>56</v>
      </c>
      <c r="U34" s="5" t="s">
        <v>56</v>
      </c>
      <c r="V34" s="5" t="s">
        <v>56</v>
      </c>
      <c r="W34" s="5" t="s">
        <v>56</v>
      </c>
    </row>
    <row r="35" spans="1:23" x14ac:dyDescent="0.25">
      <c r="A35" t="s">
        <v>76</v>
      </c>
      <c r="B35" s="5">
        <v>92000</v>
      </c>
      <c r="C35" s="5">
        <v>92000</v>
      </c>
      <c r="D35" s="5">
        <v>92000</v>
      </c>
      <c r="E35" s="5">
        <v>92000</v>
      </c>
      <c r="F35" s="5">
        <v>92000</v>
      </c>
      <c r="G35" s="5">
        <v>92000</v>
      </c>
      <c r="H35" s="5">
        <v>92000</v>
      </c>
      <c r="I35" s="5">
        <v>92000</v>
      </c>
      <c r="J35" s="5">
        <v>92000</v>
      </c>
      <c r="K35" s="5">
        <v>92000</v>
      </c>
      <c r="L35" s="5">
        <v>81000</v>
      </c>
      <c r="M35" s="5">
        <v>81000</v>
      </c>
      <c r="N35" s="5">
        <v>81000</v>
      </c>
      <c r="O35" s="5">
        <v>81000</v>
      </c>
      <c r="P35" s="5" t="s">
        <v>56</v>
      </c>
      <c r="Q35" s="5" t="s">
        <v>56</v>
      </c>
      <c r="R35" s="5" t="s">
        <v>56</v>
      </c>
      <c r="S35" s="5" t="s">
        <v>56</v>
      </c>
      <c r="T35" s="5" t="s">
        <v>56</v>
      </c>
      <c r="U35" s="5" t="s">
        <v>56</v>
      </c>
      <c r="V35" s="5" t="s">
        <v>56</v>
      </c>
      <c r="W35" s="5" t="s">
        <v>56</v>
      </c>
    </row>
    <row r="36" spans="1:23" x14ac:dyDescent="0.25">
      <c r="A36" t="s">
        <v>77</v>
      </c>
      <c r="B36" s="5">
        <v>92000</v>
      </c>
      <c r="C36" s="5">
        <v>92000</v>
      </c>
      <c r="D36" s="5">
        <v>92000</v>
      </c>
      <c r="E36" s="5">
        <v>92000</v>
      </c>
      <c r="F36" s="5">
        <v>92000</v>
      </c>
      <c r="G36" s="5">
        <v>92000</v>
      </c>
      <c r="H36" s="5">
        <v>92000</v>
      </c>
      <c r="I36" s="5">
        <v>92000</v>
      </c>
      <c r="J36" s="5">
        <v>92000</v>
      </c>
      <c r="K36" s="5">
        <v>92000</v>
      </c>
      <c r="L36" s="5" t="s">
        <v>56</v>
      </c>
      <c r="M36" s="5" t="s">
        <v>56</v>
      </c>
      <c r="N36" s="5" t="s">
        <v>56</v>
      </c>
      <c r="O36" s="5" t="s">
        <v>56</v>
      </c>
      <c r="P36" s="5" t="s">
        <v>56</v>
      </c>
      <c r="Q36" s="5" t="s">
        <v>56</v>
      </c>
      <c r="R36" s="5" t="s">
        <v>56</v>
      </c>
      <c r="S36" s="5" t="s">
        <v>56</v>
      </c>
      <c r="T36" s="5" t="s">
        <v>56</v>
      </c>
      <c r="U36" s="5" t="s">
        <v>56</v>
      </c>
      <c r="V36" s="5" t="s">
        <v>56</v>
      </c>
      <c r="W36" s="5" t="s">
        <v>56</v>
      </c>
    </row>
    <row r="37" spans="1:23" x14ac:dyDescent="0.25">
      <c r="A37" t="s">
        <v>78</v>
      </c>
      <c r="B37" s="5">
        <v>115000</v>
      </c>
      <c r="C37" s="5">
        <v>115000</v>
      </c>
      <c r="D37" s="5">
        <v>115000</v>
      </c>
      <c r="E37" s="5">
        <v>115000</v>
      </c>
      <c r="F37" s="5">
        <v>115000</v>
      </c>
      <c r="G37" s="5">
        <v>115000</v>
      </c>
      <c r="H37" s="5">
        <v>115000</v>
      </c>
      <c r="I37" s="5">
        <v>115000</v>
      </c>
      <c r="J37" s="5">
        <v>115000</v>
      </c>
      <c r="K37" s="5">
        <v>115000</v>
      </c>
      <c r="L37" s="5">
        <v>115000</v>
      </c>
      <c r="M37" s="5">
        <v>115000</v>
      </c>
      <c r="N37" s="5">
        <v>115000</v>
      </c>
      <c r="O37" s="5">
        <v>115000</v>
      </c>
      <c r="P37" s="5" t="s">
        <v>56</v>
      </c>
      <c r="Q37" s="5" t="s">
        <v>56</v>
      </c>
      <c r="R37" s="5" t="s">
        <v>56</v>
      </c>
      <c r="S37" s="5" t="s">
        <v>56</v>
      </c>
      <c r="T37" s="5" t="s">
        <v>56</v>
      </c>
      <c r="U37" s="5" t="s">
        <v>56</v>
      </c>
      <c r="V37" s="5" t="s">
        <v>56</v>
      </c>
      <c r="W37" s="5" t="s">
        <v>56</v>
      </c>
    </row>
    <row r="38" spans="1:23" x14ac:dyDescent="0.25">
      <c r="A38" t="s">
        <v>79</v>
      </c>
      <c r="B38" s="5">
        <v>130000</v>
      </c>
      <c r="C38" s="5">
        <v>130000</v>
      </c>
      <c r="D38" s="5">
        <v>130000</v>
      </c>
      <c r="E38" s="5">
        <v>130000</v>
      </c>
      <c r="F38" s="5">
        <v>130000</v>
      </c>
      <c r="G38" s="5">
        <v>130000</v>
      </c>
      <c r="H38" s="5">
        <v>130000</v>
      </c>
      <c r="I38" s="5">
        <v>130000</v>
      </c>
      <c r="J38" s="5">
        <v>130000</v>
      </c>
      <c r="K38" s="5">
        <v>130000</v>
      </c>
      <c r="L38" s="5">
        <v>130000</v>
      </c>
      <c r="M38" s="5">
        <v>130000</v>
      </c>
      <c r="N38" s="5">
        <v>130000</v>
      </c>
      <c r="O38" s="5">
        <v>130000</v>
      </c>
      <c r="P38" s="5" t="s">
        <v>56</v>
      </c>
      <c r="Q38" s="5" t="s">
        <v>56</v>
      </c>
      <c r="R38" s="5" t="s">
        <v>56</v>
      </c>
      <c r="S38" s="5" t="s">
        <v>56</v>
      </c>
      <c r="T38" s="5" t="s">
        <v>56</v>
      </c>
      <c r="U38" s="5" t="s">
        <v>56</v>
      </c>
      <c r="V38" s="5" t="s">
        <v>56</v>
      </c>
      <c r="W38" s="5" t="s">
        <v>56</v>
      </c>
    </row>
    <row r="39" spans="1:23" x14ac:dyDescent="0.25">
      <c r="A39" t="s">
        <v>80</v>
      </c>
      <c r="B39" s="5">
        <v>130000</v>
      </c>
      <c r="C39" s="5">
        <v>130000</v>
      </c>
      <c r="D39" s="5">
        <v>130000</v>
      </c>
      <c r="E39" s="5">
        <v>130000</v>
      </c>
      <c r="F39" s="5">
        <v>130000</v>
      </c>
      <c r="G39" s="5">
        <v>130000</v>
      </c>
      <c r="H39" s="5">
        <v>130000</v>
      </c>
      <c r="I39" s="5">
        <v>130000</v>
      </c>
      <c r="J39" s="5">
        <v>130000</v>
      </c>
      <c r="K39" s="5">
        <v>130000</v>
      </c>
      <c r="L39" s="5">
        <v>130000</v>
      </c>
      <c r="M39" s="5">
        <v>130000</v>
      </c>
      <c r="N39" s="5">
        <v>130000</v>
      </c>
      <c r="O39" s="5">
        <v>130000</v>
      </c>
      <c r="P39" s="5" t="s">
        <v>56</v>
      </c>
      <c r="Q39" s="5" t="s">
        <v>56</v>
      </c>
      <c r="R39" s="5" t="s">
        <v>56</v>
      </c>
      <c r="S39" s="5" t="s">
        <v>56</v>
      </c>
      <c r="T39" s="5" t="s">
        <v>56</v>
      </c>
      <c r="U39" s="5" t="s">
        <v>56</v>
      </c>
      <c r="V39" s="5" t="s">
        <v>56</v>
      </c>
      <c r="W39" s="5" t="s">
        <v>56</v>
      </c>
    </row>
  </sheetData>
  <phoneticPr fontId="0" type="noConversion"/>
  <printOptions horizontalCentered="1" verticalCentered="1" headings="1" gridLines="1"/>
  <pageMargins left="0.25" right="0.25" top="0.25" bottom="0.25" header="0.5" footer="0.5"/>
  <pageSetup scale="6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L206"/>
  <sheetViews>
    <sheetView showGridLines="0" showRowColHeaders="0" zoomScale="85" zoomScaleNormal="85" workbookViewId="0">
      <pane ySplit="1" topLeftCell="A2" activePane="bottomLeft" state="frozen"/>
      <selection pane="bottomLeft" activeCell="H8" sqref="H8:M8"/>
    </sheetView>
  </sheetViews>
  <sheetFormatPr defaultColWidth="0" defaultRowHeight="13.2" zeroHeight="1" x14ac:dyDescent="0.25"/>
  <cols>
    <col min="1" max="1" width="8.33203125" style="7" customWidth="1"/>
    <col min="2" max="2" width="3.109375" style="7" customWidth="1"/>
    <col min="3" max="4" width="9.109375" style="7" customWidth="1"/>
    <col min="5" max="5" width="2" style="7" customWidth="1"/>
    <col min="6" max="6" width="9.109375" style="7" customWidth="1"/>
    <col min="7" max="7" width="3.33203125" style="7" customWidth="1"/>
    <col min="8" max="8" width="13.6640625" style="7" customWidth="1"/>
    <col min="9" max="9" width="9.109375" style="7" customWidth="1"/>
    <col min="10" max="10" width="17.5546875" style="7" customWidth="1"/>
    <col min="11" max="11" width="19.6640625" style="7" customWidth="1"/>
    <col min="12" max="12" width="1.88671875" style="7" customWidth="1"/>
    <col min="13" max="13" width="10.5546875" style="7" bestFit="1" customWidth="1"/>
    <col min="14" max="14" width="15" style="7" customWidth="1"/>
    <col min="15" max="15" width="18.109375" style="7" customWidth="1"/>
    <col min="16" max="16" width="8.77734375" style="7" customWidth="1"/>
    <col min="17" max="20" width="9.109375" style="7" hidden="1" customWidth="1"/>
    <col min="21" max="21" width="21.5546875" style="136" hidden="1" customWidth="1"/>
    <col min="22" max="22" width="21.5546875" style="7" hidden="1" customWidth="1"/>
    <col min="23" max="24" width="5.5546875" style="7" hidden="1" customWidth="1"/>
    <col min="25" max="27" width="17.5546875" style="7" hidden="1" customWidth="1"/>
    <col min="28" max="29" width="17.5546875" style="128" hidden="1" customWidth="1"/>
    <col min="30" max="30" width="10.109375" style="128" hidden="1" customWidth="1"/>
    <col min="31" max="31" width="10.77734375" style="128" hidden="1" customWidth="1"/>
    <col min="32" max="33" width="17.5546875" style="7" hidden="1" customWidth="1"/>
    <col min="34" max="34" width="21.5546875" style="7" hidden="1" customWidth="1"/>
    <col min="35" max="35" width="17.5546875" style="136" hidden="1" customWidth="1"/>
    <col min="36" max="36" width="17.5546875" style="7" hidden="1" customWidth="1"/>
    <col min="37" max="38" width="9.109375" style="7" hidden="1" customWidth="1"/>
    <col min="39" max="40" width="12.109375" style="7" hidden="1" customWidth="1"/>
    <col min="41" max="44" width="12.77734375" style="7" hidden="1" customWidth="1"/>
    <col min="45" max="45" width="21.5546875" style="159" hidden="1" customWidth="1"/>
    <col min="46" max="53" width="12.77734375" style="7" hidden="1" customWidth="1"/>
    <col min="54" max="54" width="9.109375" style="7" hidden="1" customWidth="1"/>
    <col min="55" max="55" width="16.88671875" style="7" hidden="1" customWidth="1"/>
    <col min="56" max="64" width="0" style="7" hidden="1" customWidth="1"/>
    <col min="65" max="16384" width="9.109375" style="7" hidden="1"/>
  </cols>
  <sheetData>
    <row r="1" spans="1:64" ht="108" customHeight="1" x14ac:dyDescent="0.25">
      <c r="W1" s="64" t="s">
        <v>358</v>
      </c>
      <c r="X1" s="64" t="s">
        <v>359</v>
      </c>
      <c r="Y1" s="127" t="s">
        <v>360</v>
      </c>
      <c r="Z1" s="127" t="s">
        <v>361</v>
      </c>
      <c r="AA1" s="127" t="s">
        <v>362</v>
      </c>
      <c r="AB1" s="130" t="s">
        <v>364</v>
      </c>
      <c r="AC1" s="130" t="s">
        <v>365</v>
      </c>
      <c r="AD1" s="130" t="s">
        <v>366</v>
      </c>
      <c r="AE1" s="130" t="s">
        <v>367</v>
      </c>
      <c r="AF1" s="127" t="s">
        <v>363</v>
      </c>
      <c r="AG1" s="127" t="s">
        <v>368</v>
      </c>
      <c r="AH1" s="126"/>
      <c r="AK1" s="127" t="s">
        <v>369</v>
      </c>
      <c r="AL1" s="127" t="s">
        <v>370</v>
      </c>
      <c r="AM1" s="127" t="s">
        <v>374</v>
      </c>
      <c r="AN1" s="127" t="s">
        <v>373</v>
      </c>
      <c r="AO1" s="127" t="s">
        <v>372</v>
      </c>
      <c r="AP1" s="127" t="s">
        <v>371</v>
      </c>
      <c r="AQ1" s="142"/>
      <c r="AR1" s="411" t="s">
        <v>377</v>
      </c>
      <c r="AS1" s="156"/>
      <c r="AT1" s="144" t="s">
        <v>358</v>
      </c>
      <c r="AU1" s="144" t="s">
        <v>359</v>
      </c>
      <c r="AV1" s="145" t="s">
        <v>360</v>
      </c>
      <c r="AW1" s="145" t="s">
        <v>361</v>
      </c>
      <c r="AX1" s="145" t="s">
        <v>362</v>
      </c>
      <c r="AY1" s="146" t="s">
        <v>364</v>
      </c>
      <c r="AZ1" s="146" t="s">
        <v>365</v>
      </c>
      <c r="BA1" s="146" t="s">
        <v>366</v>
      </c>
      <c r="BB1" s="146" t="s">
        <v>367</v>
      </c>
      <c r="BC1" s="145" t="s">
        <v>363</v>
      </c>
      <c r="BD1" s="145" t="s">
        <v>368</v>
      </c>
      <c r="BG1" s="127" t="s">
        <v>369</v>
      </c>
      <c r="BH1" s="127" t="s">
        <v>370</v>
      </c>
      <c r="BI1" s="127" t="s">
        <v>374</v>
      </c>
      <c r="BJ1" s="127" t="s">
        <v>373</v>
      </c>
      <c r="BK1" s="127" t="s">
        <v>372</v>
      </c>
      <c r="BL1" s="127" t="s">
        <v>371</v>
      </c>
    </row>
    <row r="2" spans="1:64" x14ac:dyDescent="0.25">
      <c r="W2" s="64"/>
      <c r="X2" s="64"/>
      <c r="Y2" s="127"/>
      <c r="Z2" s="127"/>
      <c r="AA2" s="206"/>
      <c r="AB2" s="130"/>
      <c r="AC2" s="130"/>
      <c r="AD2" s="130"/>
      <c r="AE2" s="130"/>
      <c r="AF2" s="232"/>
      <c r="AG2" s="127"/>
      <c r="AH2" s="126"/>
      <c r="AK2" s="127"/>
      <c r="AL2" s="127"/>
      <c r="AM2" s="127"/>
      <c r="AN2" s="127"/>
      <c r="AO2" s="127"/>
      <c r="AP2" s="127"/>
      <c r="AQ2" s="142"/>
      <c r="AR2" s="411"/>
      <c r="AS2" s="156"/>
      <c r="AT2" s="144"/>
      <c r="AU2" s="144"/>
      <c r="AV2" s="145"/>
      <c r="AW2" s="145"/>
      <c r="AX2" s="145"/>
      <c r="AY2" s="146"/>
      <c r="AZ2" s="146"/>
      <c r="BA2" s="146"/>
      <c r="BB2" s="146"/>
      <c r="BC2" s="145"/>
      <c r="BD2" s="145"/>
      <c r="BG2" s="127"/>
      <c r="BH2" s="127"/>
      <c r="BI2" s="127"/>
      <c r="BJ2" s="127"/>
      <c r="BK2" s="127"/>
      <c r="BL2" s="127"/>
    </row>
    <row r="3" spans="1:64" ht="26.25" customHeight="1" x14ac:dyDescent="0.4">
      <c r="C3" s="405" t="s">
        <v>411</v>
      </c>
      <c r="D3" s="406"/>
      <c r="E3" s="406"/>
      <c r="F3" s="406"/>
      <c r="G3" s="406"/>
      <c r="H3" s="406"/>
      <c r="I3" s="406"/>
      <c r="J3" s="406"/>
      <c r="K3" s="406"/>
      <c r="L3" s="406"/>
      <c r="M3" s="406"/>
      <c r="N3" s="406"/>
      <c r="O3" s="407"/>
      <c r="P3" s="86"/>
      <c r="U3" s="135" t="s">
        <v>86</v>
      </c>
      <c r="V3" s="87" t="s">
        <v>86</v>
      </c>
      <c r="W3" s="85">
        <v>4</v>
      </c>
      <c r="X3" s="85">
        <v>0.5</v>
      </c>
      <c r="Y3" s="131">
        <v>9</v>
      </c>
      <c r="Z3" s="131">
        <v>28</v>
      </c>
      <c r="AA3" s="140">
        <v>20</v>
      </c>
      <c r="AB3" s="139">
        <v>11</v>
      </c>
      <c r="AC3" s="139">
        <v>37</v>
      </c>
      <c r="AD3" s="139">
        <v>8</v>
      </c>
      <c r="AE3" s="139">
        <v>42</v>
      </c>
      <c r="AF3" s="137">
        <v>16</v>
      </c>
      <c r="AG3" s="131">
        <v>47</v>
      </c>
      <c r="AH3" s="125"/>
      <c r="AI3" s="134" t="s">
        <v>86</v>
      </c>
      <c r="AJ3" s="87" t="s">
        <v>86</v>
      </c>
      <c r="AK3" s="64">
        <v>4</v>
      </c>
      <c r="AL3" s="64">
        <v>0.5</v>
      </c>
      <c r="AM3" s="130">
        <v>9</v>
      </c>
      <c r="AN3" s="131">
        <v>9</v>
      </c>
      <c r="AO3" s="131">
        <v>14.25</v>
      </c>
      <c r="AP3" s="131">
        <v>19</v>
      </c>
      <c r="AQ3" s="143"/>
      <c r="AR3" s="411"/>
      <c r="AS3" s="157" t="s">
        <v>86</v>
      </c>
      <c r="AT3" s="154">
        <v>4</v>
      </c>
      <c r="AU3" s="154">
        <v>0.5</v>
      </c>
      <c r="AV3" s="153">
        <v>9</v>
      </c>
      <c r="AW3" s="153">
        <v>28</v>
      </c>
      <c r="AX3" s="153">
        <v>20</v>
      </c>
      <c r="AY3" s="153">
        <v>11</v>
      </c>
      <c r="AZ3" s="153">
        <v>37</v>
      </c>
      <c r="BA3" s="153">
        <v>8</v>
      </c>
      <c r="BB3" s="153">
        <v>42</v>
      </c>
      <c r="BC3" s="153">
        <v>16</v>
      </c>
      <c r="BD3" s="153">
        <v>47</v>
      </c>
      <c r="BF3" s="87" t="s">
        <v>86</v>
      </c>
      <c r="BG3" s="64">
        <v>4</v>
      </c>
      <c r="BH3" s="64">
        <v>0.5</v>
      </c>
      <c r="BI3" s="130">
        <v>9</v>
      </c>
      <c r="BJ3" s="131">
        <v>9</v>
      </c>
      <c r="BK3" s="131">
        <v>14.25</v>
      </c>
      <c r="BL3" s="131">
        <v>19</v>
      </c>
    </row>
    <row r="4" spans="1:64" ht="13.8" x14ac:dyDescent="0.25">
      <c r="C4" s="395" t="s">
        <v>40</v>
      </c>
      <c r="D4" s="395"/>
      <c r="E4" s="395"/>
      <c r="F4" s="395"/>
      <c r="G4" s="395"/>
      <c r="H4" s="395"/>
      <c r="I4" s="395"/>
      <c r="J4" s="395"/>
      <c r="K4" s="395"/>
      <c r="L4" s="395"/>
      <c r="M4" s="395"/>
      <c r="N4" s="395"/>
      <c r="O4" s="395"/>
      <c r="U4" s="135" t="s">
        <v>85</v>
      </c>
      <c r="V4" s="87" t="s">
        <v>94</v>
      </c>
      <c r="W4" s="85">
        <v>8</v>
      </c>
      <c r="X4" s="85">
        <v>0.625</v>
      </c>
      <c r="Y4" s="131">
        <v>84</v>
      </c>
      <c r="Z4" s="131">
        <v>120</v>
      </c>
      <c r="AA4" s="140">
        <v>120</v>
      </c>
      <c r="AB4" s="139">
        <v>105</v>
      </c>
      <c r="AC4" s="139">
        <v>120</v>
      </c>
      <c r="AD4" s="139">
        <v>76</v>
      </c>
      <c r="AE4" s="139">
        <v>120</v>
      </c>
      <c r="AF4" s="137">
        <v>92</v>
      </c>
      <c r="AG4" s="131">
        <v>120</v>
      </c>
      <c r="AH4" s="125"/>
      <c r="AI4" s="134" t="s">
        <v>85</v>
      </c>
      <c r="AJ4" s="87" t="s">
        <v>94</v>
      </c>
      <c r="AK4" s="64">
        <v>8</v>
      </c>
      <c r="AL4" s="64">
        <v>0.625</v>
      </c>
      <c r="AM4" s="130">
        <v>33</v>
      </c>
      <c r="AN4" s="131">
        <v>33</v>
      </c>
      <c r="AO4" s="131">
        <v>49.5</v>
      </c>
      <c r="AP4" s="131">
        <v>66</v>
      </c>
      <c r="AQ4" s="143"/>
      <c r="AR4" s="411"/>
      <c r="AS4" s="157" t="s">
        <v>85</v>
      </c>
      <c r="AT4" s="154">
        <v>4</v>
      </c>
      <c r="AU4" s="154">
        <v>0.5</v>
      </c>
      <c r="AV4" s="153">
        <v>13</v>
      </c>
      <c r="AW4" s="153">
        <v>40</v>
      </c>
      <c r="AX4" s="153">
        <v>27</v>
      </c>
      <c r="AY4" s="153">
        <v>16</v>
      </c>
      <c r="AZ4" s="153">
        <v>60</v>
      </c>
      <c r="BA4" s="153">
        <v>11</v>
      </c>
      <c r="BB4" s="153">
        <v>54</v>
      </c>
      <c r="BC4" s="153">
        <v>22</v>
      </c>
      <c r="BD4" s="153">
        <v>60</v>
      </c>
      <c r="BF4" s="87" t="s">
        <v>85</v>
      </c>
      <c r="BG4" s="64">
        <v>4</v>
      </c>
      <c r="BH4" s="64">
        <v>0.5</v>
      </c>
      <c r="BI4" s="130">
        <v>12</v>
      </c>
      <c r="BJ4" s="131">
        <v>12</v>
      </c>
      <c r="BK4" s="131">
        <v>17.25</v>
      </c>
      <c r="BL4" s="131">
        <v>23</v>
      </c>
    </row>
    <row r="5" spans="1:64" x14ac:dyDescent="0.25">
      <c r="C5" s="394" t="s">
        <v>410</v>
      </c>
      <c r="D5" s="394"/>
      <c r="E5" s="394"/>
      <c r="F5" s="394"/>
      <c r="G5" s="394"/>
      <c r="H5" s="394"/>
      <c r="I5" s="394"/>
      <c r="J5" s="394"/>
      <c r="K5" s="394"/>
      <c r="L5" s="394"/>
      <c r="M5" s="394"/>
      <c r="N5" s="394"/>
      <c r="O5" s="394"/>
      <c r="U5" s="135" t="s">
        <v>87</v>
      </c>
      <c r="V5" s="87" t="s">
        <v>184</v>
      </c>
      <c r="W5" s="85">
        <v>32</v>
      </c>
      <c r="X5" s="85">
        <v>1.625</v>
      </c>
      <c r="Y5" s="85">
        <v>1251</v>
      </c>
      <c r="Z5" s="85">
        <v>2200</v>
      </c>
      <c r="AA5" s="87">
        <v>1522</v>
      </c>
      <c r="AB5" s="138"/>
      <c r="AC5" s="138"/>
      <c r="AD5" s="308">
        <v>598.61774079632517</v>
      </c>
      <c r="AE5" s="309">
        <v>2200</v>
      </c>
      <c r="AF5" s="137">
        <v>599</v>
      </c>
      <c r="AG5" s="131">
        <v>1796</v>
      </c>
      <c r="AH5" s="125"/>
      <c r="AI5" s="134" t="s">
        <v>87</v>
      </c>
      <c r="AJ5" s="87" t="s">
        <v>95</v>
      </c>
      <c r="AK5" s="64">
        <v>8</v>
      </c>
      <c r="AL5" s="64">
        <v>0.75</v>
      </c>
      <c r="AM5" s="130">
        <v>41</v>
      </c>
      <c r="AN5" s="131">
        <v>41</v>
      </c>
      <c r="AO5" s="131">
        <v>61.5</v>
      </c>
      <c r="AP5" s="131">
        <v>82</v>
      </c>
      <c r="AQ5" s="143"/>
      <c r="AR5" s="411"/>
      <c r="AS5" s="157" t="s">
        <v>87</v>
      </c>
      <c r="AT5" s="154">
        <v>4</v>
      </c>
      <c r="AU5" s="154">
        <v>0.5</v>
      </c>
      <c r="AV5" s="153">
        <v>17</v>
      </c>
      <c r="AW5" s="153">
        <v>53</v>
      </c>
      <c r="AX5" s="153">
        <v>35</v>
      </c>
      <c r="AY5" s="153">
        <v>21</v>
      </c>
      <c r="AZ5" s="153">
        <v>60</v>
      </c>
      <c r="BA5" s="153">
        <v>13</v>
      </c>
      <c r="BB5" s="153">
        <v>60</v>
      </c>
      <c r="BC5" s="153">
        <v>30</v>
      </c>
      <c r="BD5" s="153">
        <v>60</v>
      </c>
      <c r="BF5" s="87" t="s">
        <v>87</v>
      </c>
      <c r="BG5" s="64">
        <v>4</v>
      </c>
      <c r="BH5" s="64">
        <v>0.5</v>
      </c>
      <c r="BI5" s="130">
        <v>14</v>
      </c>
      <c r="BJ5" s="131">
        <v>14</v>
      </c>
      <c r="BK5" s="131">
        <v>21</v>
      </c>
      <c r="BL5" s="131">
        <v>28</v>
      </c>
    </row>
    <row r="6" spans="1:64" ht="17.399999999999999" x14ac:dyDescent="0.3">
      <c r="A6" s="105"/>
      <c r="B6" s="105"/>
      <c r="C6" s="105"/>
      <c r="D6" s="417" t="s">
        <v>331</v>
      </c>
      <c r="E6" s="417"/>
      <c r="F6" s="417"/>
      <c r="G6" s="417"/>
      <c r="H6" s="417"/>
      <c r="I6" s="417"/>
      <c r="J6" s="417"/>
      <c r="K6" s="417"/>
      <c r="L6" s="417"/>
      <c r="M6" s="417"/>
      <c r="U6" s="135" t="s">
        <v>88</v>
      </c>
      <c r="V6" s="87" t="s">
        <v>185</v>
      </c>
      <c r="W6" s="85">
        <v>36</v>
      </c>
      <c r="X6" s="85">
        <v>1.625</v>
      </c>
      <c r="Y6" s="131">
        <v>1199</v>
      </c>
      <c r="Z6" s="131">
        <v>2136</v>
      </c>
      <c r="AA6" s="140">
        <v>1424</v>
      </c>
      <c r="AB6" s="139"/>
      <c r="AC6" s="139"/>
      <c r="AD6" s="139">
        <v>578.52989714544185</v>
      </c>
      <c r="AE6" s="139">
        <v>2200</v>
      </c>
      <c r="AF6" s="137">
        <v>579</v>
      </c>
      <c r="AG6" s="131">
        <v>1736</v>
      </c>
      <c r="AH6" s="125"/>
      <c r="AI6" s="134" t="s">
        <v>88</v>
      </c>
      <c r="AJ6" s="87" t="s">
        <v>96</v>
      </c>
      <c r="AK6" s="64">
        <v>8</v>
      </c>
      <c r="AL6" s="64">
        <v>0.75</v>
      </c>
      <c r="AM6" s="130">
        <v>46</v>
      </c>
      <c r="AN6" s="131">
        <v>46</v>
      </c>
      <c r="AO6" s="131">
        <v>69</v>
      </c>
      <c r="AP6" s="131">
        <v>92</v>
      </c>
      <c r="AQ6" s="143"/>
      <c r="AR6" s="411"/>
      <c r="AS6" s="157" t="s">
        <v>88</v>
      </c>
      <c r="AT6" s="154">
        <v>4</v>
      </c>
      <c r="AU6" s="154">
        <v>0.5</v>
      </c>
      <c r="AV6" s="153">
        <v>26</v>
      </c>
      <c r="AW6" s="153">
        <v>60</v>
      </c>
      <c r="AX6" s="153">
        <v>60</v>
      </c>
      <c r="AY6" s="153">
        <v>33</v>
      </c>
      <c r="AZ6" s="153">
        <v>60</v>
      </c>
      <c r="BA6" s="153">
        <v>24</v>
      </c>
      <c r="BB6" s="153">
        <v>60</v>
      </c>
      <c r="BC6" s="153">
        <v>33</v>
      </c>
      <c r="BD6" s="153">
        <v>60</v>
      </c>
      <c r="BF6" s="87" t="s">
        <v>88</v>
      </c>
      <c r="BG6" s="64">
        <v>4</v>
      </c>
      <c r="BH6" s="64">
        <v>0.5</v>
      </c>
      <c r="BI6" s="130">
        <v>16</v>
      </c>
      <c r="BJ6" s="131">
        <v>16</v>
      </c>
      <c r="BK6" s="131">
        <v>24</v>
      </c>
      <c r="BL6" s="131">
        <v>32</v>
      </c>
    </row>
    <row r="7" spans="1:64" ht="13.8" thickBot="1" x14ac:dyDescent="0.3">
      <c r="U7" s="135" t="s">
        <v>89</v>
      </c>
      <c r="V7" s="87" t="s">
        <v>186</v>
      </c>
      <c r="W7" s="85">
        <v>40</v>
      </c>
      <c r="X7" s="85">
        <v>1.625</v>
      </c>
      <c r="Y7" s="85">
        <v>1184</v>
      </c>
      <c r="Z7" s="85">
        <v>2092</v>
      </c>
      <c r="AA7" s="87">
        <v>1395</v>
      </c>
      <c r="AB7" s="138"/>
      <c r="AC7" s="138"/>
      <c r="AD7" s="308">
        <v>546.38934730402843</v>
      </c>
      <c r="AE7" s="309">
        <v>2185.5573892161137</v>
      </c>
      <c r="AF7" s="137">
        <v>546</v>
      </c>
      <c r="AG7" s="131">
        <v>1639</v>
      </c>
      <c r="AH7" s="125"/>
      <c r="AI7" s="134" t="s">
        <v>89</v>
      </c>
      <c r="AJ7" s="87" t="s">
        <v>97</v>
      </c>
      <c r="AK7" s="64">
        <v>8</v>
      </c>
      <c r="AL7" s="64">
        <v>0.75</v>
      </c>
      <c r="AM7" s="130">
        <v>66</v>
      </c>
      <c r="AN7" s="131">
        <v>66</v>
      </c>
      <c r="AO7" s="131">
        <v>99</v>
      </c>
      <c r="AP7" s="131">
        <v>132</v>
      </c>
      <c r="AQ7" s="143"/>
      <c r="AR7" s="411"/>
      <c r="AS7" s="157" t="s">
        <v>89</v>
      </c>
      <c r="AT7" s="154">
        <v>4</v>
      </c>
      <c r="AU7" s="154">
        <v>0.5</v>
      </c>
      <c r="AV7" s="153">
        <v>35</v>
      </c>
      <c r="AW7" s="153">
        <v>60</v>
      </c>
      <c r="AX7" s="153">
        <v>60</v>
      </c>
      <c r="AY7" s="153">
        <v>43</v>
      </c>
      <c r="AZ7" s="153">
        <v>60</v>
      </c>
      <c r="BA7" s="153">
        <v>31</v>
      </c>
      <c r="BB7" s="153">
        <v>60</v>
      </c>
      <c r="BC7" s="153">
        <v>47</v>
      </c>
      <c r="BD7" s="153">
        <v>60</v>
      </c>
      <c r="BF7" s="87" t="s">
        <v>89</v>
      </c>
      <c r="BG7" s="64">
        <v>4</v>
      </c>
      <c r="BH7" s="64">
        <v>0.5</v>
      </c>
      <c r="BI7" s="130">
        <v>19</v>
      </c>
      <c r="BJ7" s="131">
        <v>19</v>
      </c>
      <c r="BK7" s="131">
        <v>27.75</v>
      </c>
      <c r="BL7" s="131">
        <v>37</v>
      </c>
    </row>
    <row r="8" spans="1:64" ht="18" thickBot="1" x14ac:dyDescent="0.35">
      <c r="F8" s="104" t="s">
        <v>332</v>
      </c>
      <c r="H8" s="412"/>
      <c r="I8" s="413"/>
      <c r="J8" s="413"/>
      <c r="K8" s="413"/>
      <c r="L8" s="413"/>
      <c r="M8" s="414"/>
      <c r="U8" s="135" t="s">
        <v>90</v>
      </c>
      <c r="V8" s="87" t="s">
        <v>187</v>
      </c>
      <c r="W8" s="85">
        <v>36</v>
      </c>
      <c r="X8" s="85">
        <v>1.75</v>
      </c>
      <c r="Y8" s="131">
        <v>1660</v>
      </c>
      <c r="Z8" s="131">
        <v>2909</v>
      </c>
      <c r="AA8" s="140">
        <v>1939</v>
      </c>
      <c r="AB8" s="139"/>
      <c r="AC8" s="139"/>
      <c r="AD8" s="139">
        <v>735.48439122867103</v>
      </c>
      <c r="AE8" s="139">
        <v>2941.9375649146841</v>
      </c>
      <c r="AF8" s="137">
        <v>735</v>
      </c>
      <c r="AG8" s="131">
        <v>2206</v>
      </c>
      <c r="AH8" s="125"/>
      <c r="AI8" s="134" t="s">
        <v>90</v>
      </c>
      <c r="AJ8" s="87" t="s">
        <v>98</v>
      </c>
      <c r="AK8" s="64">
        <v>12</v>
      </c>
      <c r="AL8" s="64">
        <v>0.875</v>
      </c>
      <c r="AM8" s="130">
        <v>64</v>
      </c>
      <c r="AN8" s="131">
        <v>64</v>
      </c>
      <c r="AO8" s="131">
        <v>96</v>
      </c>
      <c r="AP8" s="131">
        <v>128</v>
      </c>
      <c r="AQ8" s="143"/>
      <c r="AR8" s="411"/>
      <c r="AS8" s="157" t="s">
        <v>90</v>
      </c>
      <c r="AT8" s="154">
        <v>4</v>
      </c>
      <c r="AU8" s="154">
        <v>0.625</v>
      </c>
      <c r="AV8" s="153">
        <v>69</v>
      </c>
      <c r="AW8" s="153">
        <v>120</v>
      </c>
      <c r="AX8" s="153">
        <v>120</v>
      </c>
      <c r="AY8" s="153">
        <v>87</v>
      </c>
      <c r="AZ8" s="153">
        <v>120</v>
      </c>
      <c r="BA8" s="153">
        <v>55</v>
      </c>
      <c r="BB8" s="153">
        <v>120</v>
      </c>
      <c r="BC8" s="153">
        <v>74</v>
      </c>
      <c r="BD8" s="153">
        <v>120</v>
      </c>
      <c r="BF8" s="87" t="s">
        <v>90</v>
      </c>
      <c r="BG8" s="64">
        <v>4</v>
      </c>
      <c r="BH8" s="64">
        <v>0.625</v>
      </c>
      <c r="BI8" s="130">
        <v>33</v>
      </c>
      <c r="BJ8" s="131">
        <v>33</v>
      </c>
      <c r="BK8" s="131">
        <v>49.5</v>
      </c>
      <c r="BL8" s="131">
        <v>66</v>
      </c>
    </row>
    <row r="9" spans="1:64" x14ac:dyDescent="0.25">
      <c r="H9" s="400" t="s">
        <v>426</v>
      </c>
      <c r="I9" s="400"/>
      <c r="J9" s="400"/>
      <c r="K9" s="400"/>
      <c r="L9" s="400"/>
      <c r="M9" s="400"/>
      <c r="U9" s="135" t="s">
        <v>91</v>
      </c>
      <c r="V9" s="87" t="s">
        <v>188</v>
      </c>
      <c r="W9" s="85">
        <v>40</v>
      </c>
      <c r="X9" s="85">
        <v>1.75</v>
      </c>
      <c r="Y9" s="131">
        <v>1596</v>
      </c>
      <c r="Z9" s="131">
        <v>2737</v>
      </c>
      <c r="AA9" s="140">
        <v>1825</v>
      </c>
      <c r="AB9" s="139"/>
      <c r="AC9" s="139"/>
      <c r="AD9" s="139">
        <v>691.68588253752546</v>
      </c>
      <c r="AE9" s="139">
        <v>2766.7435301501018</v>
      </c>
      <c r="AF9" s="137">
        <v>692</v>
      </c>
      <c r="AG9" s="131">
        <v>2075</v>
      </c>
      <c r="AH9" s="125"/>
      <c r="AI9" s="134" t="s">
        <v>91</v>
      </c>
      <c r="AJ9" s="87" t="s">
        <v>99</v>
      </c>
      <c r="AK9" s="64">
        <v>12</v>
      </c>
      <c r="AL9" s="64">
        <v>0.875</v>
      </c>
      <c r="AM9" s="130">
        <v>93</v>
      </c>
      <c r="AN9" s="131">
        <v>93</v>
      </c>
      <c r="AO9" s="131">
        <v>139.5</v>
      </c>
      <c r="AP9" s="131">
        <v>186</v>
      </c>
      <c r="AQ9" s="143"/>
      <c r="AR9" s="411"/>
      <c r="AS9" s="157" t="s">
        <v>91</v>
      </c>
      <c r="AT9" s="154">
        <v>4</v>
      </c>
      <c r="AU9" s="154">
        <v>0.625</v>
      </c>
      <c r="AV9" s="153">
        <v>81</v>
      </c>
      <c r="AW9" s="153">
        <v>120</v>
      </c>
      <c r="AX9" s="153">
        <v>120</v>
      </c>
      <c r="AY9" s="153">
        <v>101</v>
      </c>
      <c r="AZ9" s="153">
        <v>120</v>
      </c>
      <c r="BA9" s="153">
        <v>63</v>
      </c>
      <c r="BB9" s="153">
        <v>120</v>
      </c>
      <c r="BC9" s="153">
        <v>87</v>
      </c>
      <c r="BD9" s="153">
        <v>120</v>
      </c>
      <c r="BF9" s="87" t="s">
        <v>91</v>
      </c>
      <c r="BG9" s="64">
        <v>4</v>
      </c>
      <c r="BH9" s="64">
        <v>0.625</v>
      </c>
      <c r="BI9" s="130">
        <v>45</v>
      </c>
      <c r="BJ9" s="131">
        <v>45</v>
      </c>
      <c r="BK9" s="131">
        <v>67.5</v>
      </c>
      <c r="BL9" s="131">
        <v>90</v>
      </c>
    </row>
    <row r="10" spans="1:64" ht="13.8" thickBot="1" x14ac:dyDescent="0.3">
      <c r="U10" s="135" t="s">
        <v>92</v>
      </c>
      <c r="V10" s="87" t="s">
        <v>189</v>
      </c>
      <c r="W10" s="85">
        <v>36</v>
      </c>
      <c r="X10" s="85">
        <v>1.875</v>
      </c>
      <c r="Y10" s="85">
        <v>2165</v>
      </c>
      <c r="Z10" s="85">
        <v>3636</v>
      </c>
      <c r="AA10" s="87">
        <v>2424</v>
      </c>
      <c r="AB10" s="138"/>
      <c r="AC10" s="138"/>
      <c r="AD10" s="310">
        <v>920.86192359184315</v>
      </c>
      <c r="AE10" s="311">
        <v>3683.4476943673722</v>
      </c>
      <c r="AF10" s="137">
        <v>921</v>
      </c>
      <c r="AG10" s="131">
        <v>2763</v>
      </c>
      <c r="AH10" s="125"/>
      <c r="AI10" s="134" t="s">
        <v>92</v>
      </c>
      <c r="AJ10" s="87" t="s">
        <v>100</v>
      </c>
      <c r="AK10" s="64">
        <v>12</v>
      </c>
      <c r="AL10" s="64">
        <v>1</v>
      </c>
      <c r="AM10" s="130">
        <v>134</v>
      </c>
      <c r="AN10" s="131">
        <v>134</v>
      </c>
      <c r="AO10" s="131">
        <v>201</v>
      </c>
      <c r="AP10" s="131">
        <v>268</v>
      </c>
      <c r="AQ10" s="143"/>
      <c r="AR10" s="411"/>
      <c r="AS10" s="157" t="s">
        <v>92</v>
      </c>
      <c r="AT10" s="154">
        <v>4</v>
      </c>
      <c r="AU10" s="154">
        <v>0.625</v>
      </c>
      <c r="AV10" s="153">
        <v>119</v>
      </c>
      <c r="AW10" s="153">
        <v>120</v>
      </c>
      <c r="AX10" s="153">
        <v>120</v>
      </c>
      <c r="AY10" s="153">
        <v>120</v>
      </c>
      <c r="AZ10" s="153">
        <v>120</v>
      </c>
      <c r="BA10" s="153">
        <v>102</v>
      </c>
      <c r="BB10" s="153">
        <v>120</v>
      </c>
      <c r="BC10" s="153">
        <v>120</v>
      </c>
      <c r="BD10" s="153">
        <v>120</v>
      </c>
      <c r="BF10" s="87" t="s">
        <v>92</v>
      </c>
      <c r="BG10" s="64">
        <v>4</v>
      </c>
      <c r="BH10" s="64">
        <v>0.625</v>
      </c>
      <c r="BI10" s="130">
        <v>49</v>
      </c>
      <c r="BJ10" s="131">
        <v>49</v>
      </c>
      <c r="BK10" s="131">
        <v>72.75</v>
      </c>
      <c r="BL10" s="131">
        <v>97</v>
      </c>
    </row>
    <row r="11" spans="1:64" ht="18" thickBot="1" x14ac:dyDescent="0.35">
      <c r="F11" s="90" t="s">
        <v>34</v>
      </c>
      <c r="H11" s="102" t="e">
        <f>LOOKUP(H8,V:V,W:W)</f>
        <v>#N/A</v>
      </c>
      <c r="I11" s="121"/>
      <c r="J11" s="2"/>
      <c r="K11" s="90" t="s">
        <v>35</v>
      </c>
      <c r="M11" s="103" t="e">
        <f>LOOKUP(H8,V:V,X:X)</f>
        <v>#N/A</v>
      </c>
      <c r="N11" s="71" t="s">
        <v>37</v>
      </c>
      <c r="U11" s="135" t="s">
        <v>93</v>
      </c>
      <c r="V11" s="87" t="s">
        <v>190</v>
      </c>
      <c r="W11" s="85">
        <v>40</v>
      </c>
      <c r="X11" s="85">
        <v>1.875</v>
      </c>
      <c r="Y11" s="85">
        <v>2144</v>
      </c>
      <c r="Z11" s="85">
        <v>3631</v>
      </c>
      <c r="AA11" s="87">
        <v>2421</v>
      </c>
      <c r="AB11" s="138"/>
      <c r="AC11" s="138"/>
      <c r="AD11" s="310">
        <v>1079.9118220271312</v>
      </c>
      <c r="AE11" s="311">
        <v>4000</v>
      </c>
      <c r="AF11" s="137">
        <v>1083</v>
      </c>
      <c r="AG11" s="131">
        <v>3249</v>
      </c>
      <c r="AH11" s="125"/>
      <c r="AI11" s="134" t="s">
        <v>93</v>
      </c>
      <c r="AJ11" s="87" t="s">
        <v>101</v>
      </c>
      <c r="AK11" s="64">
        <v>16</v>
      </c>
      <c r="AL11" s="64">
        <v>1</v>
      </c>
      <c r="AM11" s="130">
        <v>120</v>
      </c>
      <c r="AN11" s="131">
        <v>120</v>
      </c>
      <c r="AO11" s="131">
        <v>180.75</v>
      </c>
      <c r="AP11" s="131">
        <v>241</v>
      </c>
      <c r="AQ11" s="143"/>
      <c r="AR11" s="411"/>
      <c r="AS11" s="157" t="s">
        <v>93</v>
      </c>
      <c r="AT11" s="154">
        <v>8</v>
      </c>
      <c r="AU11" s="154">
        <v>0.625</v>
      </c>
      <c r="AV11" s="153">
        <v>66</v>
      </c>
      <c r="AW11" s="153">
        <v>120</v>
      </c>
      <c r="AX11" s="153">
        <v>120</v>
      </c>
      <c r="AY11" s="155" t="s">
        <v>33</v>
      </c>
      <c r="AZ11" s="155" t="s">
        <v>33</v>
      </c>
      <c r="BA11" s="155" t="s">
        <v>33</v>
      </c>
      <c r="BB11" s="155" t="s">
        <v>33</v>
      </c>
      <c r="BC11" s="153" t="s">
        <v>33</v>
      </c>
      <c r="BD11" s="153" t="s">
        <v>33</v>
      </c>
      <c r="BF11" s="87" t="s">
        <v>93</v>
      </c>
      <c r="BG11" s="64">
        <v>8</v>
      </c>
      <c r="BH11" s="64">
        <v>0.625</v>
      </c>
      <c r="BI11" s="130">
        <v>30</v>
      </c>
      <c r="BJ11" s="131">
        <v>30</v>
      </c>
      <c r="BK11" s="131">
        <v>45</v>
      </c>
      <c r="BL11" s="131">
        <v>60</v>
      </c>
    </row>
    <row r="12" spans="1:64" x14ac:dyDescent="0.25">
      <c r="U12" s="135" t="s">
        <v>94</v>
      </c>
      <c r="V12" s="87" t="s">
        <v>191</v>
      </c>
      <c r="W12" s="85">
        <v>44</v>
      </c>
      <c r="X12" s="85">
        <v>1.875</v>
      </c>
      <c r="Y12" s="85">
        <v>2067</v>
      </c>
      <c r="Z12" s="85">
        <v>3433</v>
      </c>
      <c r="AA12" s="87">
        <v>2289</v>
      </c>
      <c r="AB12" s="138"/>
      <c r="AC12" s="138"/>
      <c r="AD12" s="310">
        <v>815.41150467153398</v>
      </c>
      <c r="AE12" s="311">
        <v>3261.6460186861359</v>
      </c>
      <c r="AF12" s="137">
        <v>815</v>
      </c>
      <c r="AG12" s="131">
        <v>2446</v>
      </c>
      <c r="AH12" s="125"/>
      <c r="AI12" s="134" t="s">
        <v>94</v>
      </c>
      <c r="AJ12" s="87" t="s">
        <v>102</v>
      </c>
      <c r="AK12" s="64">
        <v>16</v>
      </c>
      <c r="AL12" s="64">
        <v>1.125</v>
      </c>
      <c r="AM12" s="130">
        <v>132</v>
      </c>
      <c r="AN12" s="131">
        <v>132</v>
      </c>
      <c r="AO12" s="131">
        <v>198</v>
      </c>
      <c r="AP12" s="131">
        <v>264</v>
      </c>
      <c r="AQ12" s="143"/>
      <c r="AR12" s="411"/>
      <c r="AS12" s="157" t="s">
        <v>94</v>
      </c>
      <c r="AT12" s="154">
        <v>8</v>
      </c>
      <c r="AU12" s="154">
        <v>0.625</v>
      </c>
      <c r="AV12" s="153">
        <v>84</v>
      </c>
      <c r="AW12" s="153">
        <v>120</v>
      </c>
      <c r="AX12" s="153">
        <v>120</v>
      </c>
      <c r="AY12" s="153">
        <v>105</v>
      </c>
      <c r="AZ12" s="153">
        <v>120</v>
      </c>
      <c r="BA12" s="153">
        <v>76</v>
      </c>
      <c r="BB12" s="153">
        <v>120</v>
      </c>
      <c r="BC12" s="153">
        <v>92</v>
      </c>
      <c r="BD12" s="153">
        <v>120</v>
      </c>
      <c r="BF12" s="87" t="s">
        <v>94</v>
      </c>
      <c r="BG12" s="64">
        <v>8</v>
      </c>
      <c r="BH12" s="64">
        <v>0.625</v>
      </c>
      <c r="BI12" s="130">
        <v>33</v>
      </c>
      <c r="BJ12" s="131">
        <v>33</v>
      </c>
      <c r="BK12" s="131">
        <v>49.5</v>
      </c>
      <c r="BL12" s="131">
        <v>66</v>
      </c>
    </row>
    <row r="13" spans="1:64" x14ac:dyDescent="0.25">
      <c r="U13" s="135" t="s">
        <v>95</v>
      </c>
      <c r="V13" s="87" t="s">
        <v>192</v>
      </c>
      <c r="W13" s="85">
        <v>48</v>
      </c>
      <c r="X13" s="85">
        <v>1.875</v>
      </c>
      <c r="Y13" s="85">
        <v>2006</v>
      </c>
      <c r="Z13" s="85">
        <v>3267</v>
      </c>
      <c r="AA13" s="87">
        <v>2178</v>
      </c>
      <c r="AB13" s="138"/>
      <c r="AC13" s="138"/>
      <c r="AD13" s="310">
        <v>775.86759757641812</v>
      </c>
      <c r="AE13" s="311">
        <v>3103.4703903056725</v>
      </c>
      <c r="AF13" s="137">
        <v>776</v>
      </c>
      <c r="AG13" s="131">
        <v>2328</v>
      </c>
      <c r="AH13" s="125"/>
      <c r="AI13" s="134" t="s">
        <v>95</v>
      </c>
      <c r="AJ13" s="87" t="s">
        <v>103</v>
      </c>
      <c r="AK13" s="64">
        <v>20</v>
      </c>
      <c r="AL13" s="64">
        <v>1.125</v>
      </c>
      <c r="AM13" s="130">
        <v>124</v>
      </c>
      <c r="AN13" s="131">
        <v>124</v>
      </c>
      <c r="AO13" s="131">
        <v>186.75</v>
      </c>
      <c r="AP13" s="131">
        <v>249</v>
      </c>
      <c r="AQ13" s="143"/>
      <c r="AR13" s="411"/>
      <c r="AS13" s="157" t="s">
        <v>95</v>
      </c>
      <c r="AT13" s="154">
        <v>8</v>
      </c>
      <c r="AU13" s="154">
        <v>0.75</v>
      </c>
      <c r="AV13" s="153">
        <v>117</v>
      </c>
      <c r="AW13" s="153">
        <v>200</v>
      </c>
      <c r="AX13" s="153">
        <v>200</v>
      </c>
      <c r="AY13" s="153">
        <v>146</v>
      </c>
      <c r="AZ13" s="153">
        <v>200</v>
      </c>
      <c r="BA13" s="153">
        <v>106</v>
      </c>
      <c r="BB13" s="153">
        <v>200</v>
      </c>
      <c r="BC13" s="153">
        <v>124</v>
      </c>
      <c r="BD13" s="153">
        <v>200</v>
      </c>
      <c r="BF13" s="87" t="s">
        <v>95</v>
      </c>
      <c r="BG13" s="64">
        <v>8</v>
      </c>
      <c r="BH13" s="64">
        <v>0.75</v>
      </c>
      <c r="BI13" s="130">
        <v>41</v>
      </c>
      <c r="BJ13" s="131">
        <v>41</v>
      </c>
      <c r="BK13" s="131">
        <v>61.5</v>
      </c>
      <c r="BL13" s="131">
        <v>82</v>
      </c>
    </row>
    <row r="14" spans="1:64" ht="45" customHeight="1" x14ac:dyDescent="0.4">
      <c r="C14" s="233"/>
      <c r="D14" s="234"/>
      <c r="E14" s="396" t="s">
        <v>446</v>
      </c>
      <c r="F14" s="396"/>
      <c r="G14" s="396"/>
      <c r="H14" s="396"/>
      <c r="I14" s="396"/>
      <c r="J14" s="396"/>
      <c r="K14" s="396"/>
      <c r="L14" s="396"/>
      <c r="M14" s="396"/>
      <c r="N14" s="396"/>
      <c r="O14" s="235"/>
      <c r="U14" s="135" t="s">
        <v>96</v>
      </c>
      <c r="V14" s="87" t="s">
        <v>193</v>
      </c>
      <c r="W14" s="85">
        <v>48</v>
      </c>
      <c r="X14" s="85">
        <v>1.875</v>
      </c>
      <c r="Y14" s="85">
        <v>2120</v>
      </c>
      <c r="Z14" s="85">
        <v>3388</v>
      </c>
      <c r="AA14" s="87">
        <v>2259</v>
      </c>
      <c r="AB14" s="138"/>
      <c r="AC14" s="138"/>
      <c r="AD14" s="310">
        <v>1065.2644360316951</v>
      </c>
      <c r="AE14" s="311">
        <v>3999.9999999999991</v>
      </c>
      <c r="AF14" s="137">
        <v>1065</v>
      </c>
      <c r="AG14" s="131">
        <v>3196</v>
      </c>
      <c r="AH14" s="125"/>
      <c r="AI14" s="134" t="s">
        <v>96</v>
      </c>
      <c r="AJ14" s="87" t="s">
        <v>85</v>
      </c>
      <c r="AK14" s="64">
        <v>4</v>
      </c>
      <c r="AL14" s="64">
        <v>0.5</v>
      </c>
      <c r="AM14" s="130">
        <v>12</v>
      </c>
      <c r="AN14" s="131">
        <v>12</v>
      </c>
      <c r="AO14" s="131">
        <v>17.25</v>
      </c>
      <c r="AP14" s="131">
        <v>23</v>
      </c>
      <c r="AQ14" s="143"/>
      <c r="AR14" s="411"/>
      <c r="AS14" s="157" t="s">
        <v>96</v>
      </c>
      <c r="AT14" s="154">
        <v>8</v>
      </c>
      <c r="AU14" s="154">
        <v>0.75</v>
      </c>
      <c r="AV14" s="153">
        <v>148</v>
      </c>
      <c r="AW14" s="153">
        <v>200</v>
      </c>
      <c r="AX14" s="153">
        <v>200</v>
      </c>
      <c r="AY14" s="153">
        <v>185</v>
      </c>
      <c r="AZ14" s="153">
        <v>200</v>
      </c>
      <c r="BA14" s="153">
        <v>137</v>
      </c>
      <c r="BB14" s="153">
        <v>200</v>
      </c>
      <c r="BC14" s="153">
        <v>178</v>
      </c>
      <c r="BD14" s="153">
        <v>200</v>
      </c>
      <c r="BF14" s="87" t="s">
        <v>96</v>
      </c>
      <c r="BG14" s="64">
        <v>8</v>
      </c>
      <c r="BH14" s="64">
        <v>0.75</v>
      </c>
      <c r="BI14" s="130">
        <v>46</v>
      </c>
      <c r="BJ14" s="131">
        <v>46</v>
      </c>
      <c r="BK14" s="131">
        <v>69</v>
      </c>
      <c r="BL14" s="131">
        <v>92</v>
      </c>
    </row>
    <row r="15" spans="1:64" ht="13.8" thickBot="1" x14ac:dyDescent="0.3">
      <c r="U15" s="135" t="s">
        <v>97</v>
      </c>
      <c r="V15" s="87" t="s">
        <v>95</v>
      </c>
      <c r="W15" s="85">
        <v>8</v>
      </c>
      <c r="X15" s="85">
        <v>0.75</v>
      </c>
      <c r="Y15" s="131">
        <v>117</v>
      </c>
      <c r="Z15" s="131">
        <v>200</v>
      </c>
      <c r="AA15" s="140">
        <v>200</v>
      </c>
      <c r="AB15" s="139">
        <v>146</v>
      </c>
      <c r="AC15" s="139">
        <v>200</v>
      </c>
      <c r="AD15" s="139">
        <v>106</v>
      </c>
      <c r="AE15" s="139">
        <v>200</v>
      </c>
      <c r="AF15" s="137">
        <v>124</v>
      </c>
      <c r="AG15" s="131">
        <v>200</v>
      </c>
      <c r="AH15" s="125"/>
      <c r="AI15" s="134" t="s">
        <v>97</v>
      </c>
      <c r="AJ15" s="87" t="s">
        <v>104</v>
      </c>
      <c r="AK15" s="64">
        <v>20</v>
      </c>
      <c r="AL15" s="64">
        <v>1.25</v>
      </c>
      <c r="AM15" s="130">
        <v>173</v>
      </c>
      <c r="AN15" s="131">
        <v>173</v>
      </c>
      <c r="AO15" s="131">
        <v>260.25</v>
      </c>
      <c r="AP15" s="131">
        <v>347</v>
      </c>
      <c r="AQ15" s="143"/>
      <c r="AR15" s="411"/>
      <c r="AS15" s="157" t="s">
        <v>97</v>
      </c>
      <c r="AT15" s="154">
        <v>8</v>
      </c>
      <c r="AU15" s="154">
        <v>0.75</v>
      </c>
      <c r="AV15" s="153">
        <v>200</v>
      </c>
      <c r="AW15" s="153">
        <v>200</v>
      </c>
      <c r="AX15" s="153">
        <v>200</v>
      </c>
      <c r="AY15" s="153">
        <v>250</v>
      </c>
      <c r="AZ15" s="153">
        <v>200</v>
      </c>
      <c r="BA15" s="153">
        <v>190</v>
      </c>
      <c r="BB15" s="153">
        <v>200</v>
      </c>
      <c r="BC15" s="153">
        <v>200</v>
      </c>
      <c r="BD15" s="153">
        <v>200</v>
      </c>
      <c r="BF15" s="87" t="s">
        <v>97</v>
      </c>
      <c r="BG15" s="64">
        <v>8</v>
      </c>
      <c r="BH15" s="64">
        <v>0.75</v>
      </c>
      <c r="BI15" s="130">
        <v>66</v>
      </c>
      <c r="BJ15" s="131">
        <v>66</v>
      </c>
      <c r="BK15" s="131">
        <v>99</v>
      </c>
      <c r="BL15" s="131">
        <v>132</v>
      </c>
    </row>
    <row r="16" spans="1:64" ht="18" thickBot="1" x14ac:dyDescent="0.35">
      <c r="D16" s="90" t="s">
        <v>356</v>
      </c>
      <c r="F16" s="397" t="e">
        <f>LOOKUP($H$8,V:V,Y:Y)</f>
        <v>#N/A</v>
      </c>
      <c r="G16" s="415"/>
      <c r="H16" s="416"/>
      <c r="I16" s="123" t="s">
        <v>16</v>
      </c>
      <c r="K16" s="90" t="s">
        <v>357</v>
      </c>
      <c r="M16" s="397" t="e">
        <f>LOOKUP($H$8,V:V,Z:Z)</f>
        <v>#N/A</v>
      </c>
      <c r="N16" s="398"/>
      <c r="O16" s="124" t="s">
        <v>16</v>
      </c>
      <c r="U16" s="135" t="s">
        <v>98</v>
      </c>
      <c r="V16" s="87" t="s">
        <v>194</v>
      </c>
      <c r="W16" s="85">
        <v>36</v>
      </c>
      <c r="X16" s="85">
        <v>2.25</v>
      </c>
      <c r="Y16" s="85">
        <v>3191</v>
      </c>
      <c r="Z16" s="85">
        <v>5007</v>
      </c>
      <c r="AA16" s="87">
        <v>3338</v>
      </c>
      <c r="AB16" s="138"/>
      <c r="AC16" s="138"/>
      <c r="AD16" s="310">
        <v>1398.0591455216595</v>
      </c>
      <c r="AE16" s="311">
        <v>5592.236582086638</v>
      </c>
      <c r="AF16" s="137">
        <v>1398</v>
      </c>
      <c r="AG16" s="131">
        <v>4194</v>
      </c>
      <c r="AH16" s="125"/>
      <c r="AI16" s="134" t="s">
        <v>98</v>
      </c>
      <c r="AJ16" s="87" t="s">
        <v>105</v>
      </c>
      <c r="AK16" s="64">
        <v>24</v>
      </c>
      <c r="AL16" s="64">
        <v>1.25</v>
      </c>
      <c r="AM16" s="130">
        <v>238.5</v>
      </c>
      <c r="AN16" s="131">
        <v>318</v>
      </c>
      <c r="AO16" s="131">
        <v>238.5</v>
      </c>
      <c r="AP16" s="131">
        <v>318</v>
      </c>
      <c r="AQ16" s="143"/>
      <c r="AR16" s="411"/>
      <c r="AS16" s="157" t="s">
        <v>98</v>
      </c>
      <c r="AT16" s="154">
        <v>12</v>
      </c>
      <c r="AU16" s="154">
        <v>0.875</v>
      </c>
      <c r="AV16" s="153">
        <v>188</v>
      </c>
      <c r="AW16" s="153">
        <v>320</v>
      </c>
      <c r="AX16" s="153">
        <v>320</v>
      </c>
      <c r="AY16" s="153">
        <v>235</v>
      </c>
      <c r="AZ16" s="153">
        <v>320</v>
      </c>
      <c r="BA16" s="153">
        <v>178</v>
      </c>
      <c r="BB16" s="153">
        <v>320</v>
      </c>
      <c r="BC16" s="153">
        <v>236</v>
      </c>
      <c r="BD16" s="153">
        <v>320</v>
      </c>
      <c r="BF16" s="87" t="s">
        <v>98</v>
      </c>
      <c r="BG16" s="64">
        <v>12</v>
      </c>
      <c r="BH16" s="64">
        <v>0.875</v>
      </c>
      <c r="BI16" s="130">
        <v>64</v>
      </c>
      <c r="BJ16" s="131">
        <v>64</v>
      </c>
      <c r="BK16" s="131">
        <v>96</v>
      </c>
      <c r="BL16" s="131">
        <v>128</v>
      </c>
    </row>
    <row r="17" spans="1:64" x14ac:dyDescent="0.25">
      <c r="U17" s="135" t="s">
        <v>99</v>
      </c>
      <c r="V17" s="87" t="s">
        <v>195</v>
      </c>
      <c r="W17" s="85">
        <v>40</v>
      </c>
      <c r="X17" s="85">
        <v>2.25</v>
      </c>
      <c r="Y17" s="85">
        <v>3208</v>
      </c>
      <c r="Z17" s="85">
        <v>5231</v>
      </c>
      <c r="AA17" s="87">
        <v>3487</v>
      </c>
      <c r="AB17" s="138"/>
      <c r="AC17" s="138"/>
      <c r="AD17" s="310">
        <v>1116.1705616868355</v>
      </c>
      <c r="AE17" s="311">
        <v>4464.6822467473421</v>
      </c>
      <c r="AF17" s="137">
        <v>1116</v>
      </c>
      <c r="AG17" s="131">
        <v>3349</v>
      </c>
      <c r="AH17" s="125"/>
      <c r="AI17" s="134" t="s">
        <v>99</v>
      </c>
      <c r="AJ17" s="87" t="s">
        <v>106</v>
      </c>
      <c r="AK17" s="64">
        <v>28</v>
      </c>
      <c r="AL17" s="64">
        <v>1.25</v>
      </c>
      <c r="AM17" s="130">
        <v>224.25</v>
      </c>
      <c r="AN17" s="131">
        <v>299</v>
      </c>
      <c r="AO17" s="131">
        <v>224.25</v>
      </c>
      <c r="AP17" s="131">
        <v>299</v>
      </c>
      <c r="AQ17" s="143"/>
      <c r="AR17" s="411"/>
      <c r="AS17" s="157" t="s">
        <v>99</v>
      </c>
      <c r="AT17" s="154">
        <v>12</v>
      </c>
      <c r="AU17" s="154">
        <v>0.875</v>
      </c>
      <c r="AV17" s="153">
        <v>250</v>
      </c>
      <c r="AW17" s="153">
        <v>320</v>
      </c>
      <c r="AX17" s="153">
        <v>320</v>
      </c>
      <c r="AY17" s="153">
        <v>312</v>
      </c>
      <c r="AZ17" s="153">
        <v>320</v>
      </c>
      <c r="BA17" s="153">
        <v>178</v>
      </c>
      <c r="BB17" s="153">
        <v>320</v>
      </c>
      <c r="BC17" s="153">
        <v>320</v>
      </c>
      <c r="BD17" s="153">
        <v>320</v>
      </c>
      <c r="BF17" s="87" t="s">
        <v>99</v>
      </c>
      <c r="BG17" s="64">
        <v>12</v>
      </c>
      <c r="BH17" s="64">
        <v>0.875</v>
      </c>
      <c r="BI17" s="130">
        <v>93</v>
      </c>
      <c r="BJ17" s="131">
        <v>93</v>
      </c>
      <c r="BK17" s="131">
        <v>139.5</v>
      </c>
      <c r="BL17" s="131">
        <v>186</v>
      </c>
    </row>
    <row r="18" spans="1:64" ht="45" customHeight="1" x14ac:dyDescent="0.4">
      <c r="C18" s="233"/>
      <c r="D18" s="234"/>
      <c r="E18" s="396" t="s">
        <v>440</v>
      </c>
      <c r="F18" s="396"/>
      <c r="G18" s="396"/>
      <c r="H18" s="396"/>
      <c r="I18" s="396"/>
      <c r="J18" s="396"/>
      <c r="K18" s="396"/>
      <c r="L18" s="396"/>
      <c r="M18" s="396"/>
      <c r="N18" s="396"/>
      <c r="O18" s="235"/>
      <c r="U18" s="135" t="s">
        <v>100</v>
      </c>
      <c r="V18" s="87" t="s">
        <v>196</v>
      </c>
      <c r="W18" s="85">
        <v>40</v>
      </c>
      <c r="X18" s="85">
        <v>2.25</v>
      </c>
      <c r="Y18" s="85">
        <v>3466</v>
      </c>
      <c r="Z18" s="85">
        <v>5700</v>
      </c>
      <c r="AA18" s="87">
        <v>3800</v>
      </c>
      <c r="AB18" s="138"/>
      <c r="AC18" s="138"/>
      <c r="AD18" s="310">
        <v>1252.3628881485849</v>
      </c>
      <c r="AE18" s="311">
        <v>5009.4515525943398</v>
      </c>
      <c r="AF18" s="137">
        <v>1256</v>
      </c>
      <c r="AG18" s="131">
        <v>3757</v>
      </c>
      <c r="AH18" s="125"/>
      <c r="AI18" s="134" t="s">
        <v>100</v>
      </c>
      <c r="AJ18" s="87" t="s">
        <v>107</v>
      </c>
      <c r="AK18" s="64">
        <v>28</v>
      </c>
      <c r="AL18" s="64">
        <v>1.25</v>
      </c>
      <c r="AM18" s="130">
        <v>248.25</v>
      </c>
      <c r="AN18" s="131">
        <v>331</v>
      </c>
      <c r="AO18" s="131">
        <v>248.25</v>
      </c>
      <c r="AP18" s="131">
        <v>331</v>
      </c>
      <c r="AQ18" s="143"/>
      <c r="AR18" s="411"/>
      <c r="AS18" s="157" t="s">
        <v>100</v>
      </c>
      <c r="AT18" s="154">
        <v>12</v>
      </c>
      <c r="AU18" s="154">
        <v>1</v>
      </c>
      <c r="AV18" s="153">
        <v>317</v>
      </c>
      <c r="AW18" s="153">
        <v>490</v>
      </c>
      <c r="AX18" s="153">
        <v>490</v>
      </c>
      <c r="AY18" s="153">
        <v>396</v>
      </c>
      <c r="AZ18" s="153">
        <v>490</v>
      </c>
      <c r="BA18" s="153">
        <v>268</v>
      </c>
      <c r="BB18" s="153">
        <v>490</v>
      </c>
      <c r="BC18" s="153">
        <v>408</v>
      </c>
      <c r="BD18" s="153">
        <v>490</v>
      </c>
      <c r="BF18" s="87" t="s">
        <v>100</v>
      </c>
      <c r="BG18" s="64">
        <v>12</v>
      </c>
      <c r="BH18" s="64">
        <v>1</v>
      </c>
      <c r="BI18" s="130">
        <v>134</v>
      </c>
      <c r="BJ18" s="131">
        <v>134</v>
      </c>
      <c r="BK18" s="131">
        <v>201</v>
      </c>
      <c r="BL18" s="131">
        <v>268</v>
      </c>
    </row>
    <row r="19" spans="1:64" ht="13.8" thickBot="1" x14ac:dyDescent="0.3">
      <c r="U19" s="135" t="s">
        <v>101</v>
      </c>
      <c r="V19" s="87" t="s">
        <v>197</v>
      </c>
      <c r="W19" s="85">
        <v>4</v>
      </c>
      <c r="X19" s="85">
        <v>0.5</v>
      </c>
      <c r="Y19" s="85">
        <v>13</v>
      </c>
      <c r="Z19" s="85">
        <v>28</v>
      </c>
      <c r="AA19" s="87">
        <v>19</v>
      </c>
      <c r="AB19" s="138" t="s">
        <v>33</v>
      </c>
      <c r="AC19" s="138" t="s">
        <v>33</v>
      </c>
      <c r="AD19" s="310">
        <v>8.426916130204404</v>
      </c>
      <c r="AE19" s="311">
        <v>42.134580651022027</v>
      </c>
      <c r="AF19" s="137">
        <v>16</v>
      </c>
      <c r="AG19" s="131">
        <v>47</v>
      </c>
      <c r="AH19" s="125"/>
      <c r="AI19" s="134" t="s">
        <v>101</v>
      </c>
      <c r="AJ19" s="87" t="s">
        <v>108</v>
      </c>
      <c r="AK19" s="64">
        <v>28</v>
      </c>
      <c r="AL19" s="64">
        <v>1.5</v>
      </c>
      <c r="AM19" s="130">
        <v>309</v>
      </c>
      <c r="AN19" s="131">
        <v>412</v>
      </c>
      <c r="AO19" s="131">
        <v>309</v>
      </c>
      <c r="AP19" s="131">
        <v>412</v>
      </c>
      <c r="AQ19" s="143"/>
      <c r="AR19" s="411"/>
      <c r="AS19" s="157" t="s">
        <v>101</v>
      </c>
      <c r="AT19" s="154">
        <v>16</v>
      </c>
      <c r="AU19" s="154">
        <v>1</v>
      </c>
      <c r="AV19" s="153">
        <v>301</v>
      </c>
      <c r="AW19" s="153">
        <v>490</v>
      </c>
      <c r="AX19" s="153">
        <v>490</v>
      </c>
      <c r="AY19" s="153">
        <v>377</v>
      </c>
      <c r="AZ19" s="153">
        <v>490</v>
      </c>
      <c r="BA19" s="153">
        <v>267</v>
      </c>
      <c r="BB19" s="153">
        <v>490</v>
      </c>
      <c r="BC19" s="153">
        <v>421</v>
      </c>
      <c r="BD19" s="153">
        <v>490</v>
      </c>
      <c r="BF19" s="87" t="s">
        <v>101</v>
      </c>
      <c r="BG19" s="64">
        <v>16</v>
      </c>
      <c r="BH19" s="64">
        <v>1</v>
      </c>
      <c r="BI19" s="130">
        <v>120</v>
      </c>
      <c r="BJ19" s="131">
        <v>120</v>
      </c>
      <c r="BK19" s="131">
        <v>180.75</v>
      </c>
      <c r="BL19" s="131">
        <v>241</v>
      </c>
    </row>
    <row r="20" spans="1:64" ht="18" thickBot="1" x14ac:dyDescent="0.35">
      <c r="D20" s="90" t="s">
        <v>356</v>
      </c>
      <c r="F20" s="397" t="e">
        <f>LOOKUP($H$8,V:V,Y:Y)</f>
        <v>#N/A</v>
      </c>
      <c r="G20" s="399"/>
      <c r="H20" s="398"/>
      <c r="I20" s="123" t="s">
        <v>16</v>
      </c>
      <c r="J20" s="90"/>
      <c r="K20" s="90" t="s">
        <v>357</v>
      </c>
      <c r="L20" s="122"/>
      <c r="M20" s="397" t="e">
        <f>LOOKUP($H$8,V:V,AA:AA)</f>
        <v>#N/A</v>
      </c>
      <c r="N20" s="398"/>
      <c r="O20" s="124" t="s">
        <v>16</v>
      </c>
      <c r="U20" s="135" t="s">
        <v>102</v>
      </c>
      <c r="V20" s="87" t="s">
        <v>198</v>
      </c>
      <c r="W20" s="85">
        <v>4</v>
      </c>
      <c r="X20" s="85">
        <v>0.625</v>
      </c>
      <c r="Y20" s="85">
        <v>24</v>
      </c>
      <c r="Z20" s="85">
        <v>51</v>
      </c>
      <c r="AA20" s="87">
        <v>34</v>
      </c>
      <c r="AB20" s="138" t="s">
        <v>33</v>
      </c>
      <c r="AC20" s="138" t="s">
        <v>33</v>
      </c>
      <c r="AD20" s="310">
        <v>13.583184208141336</v>
      </c>
      <c r="AE20" s="311">
        <v>67.915921040706678</v>
      </c>
      <c r="AF20" s="137">
        <v>28</v>
      </c>
      <c r="AG20" s="131">
        <v>84</v>
      </c>
      <c r="AH20" s="125"/>
      <c r="AI20" s="134" t="s">
        <v>102</v>
      </c>
      <c r="AJ20" s="87" t="s">
        <v>109</v>
      </c>
      <c r="AK20" s="64">
        <v>32</v>
      </c>
      <c r="AL20" s="64">
        <v>1.5</v>
      </c>
      <c r="AM20" s="130">
        <v>282.75</v>
      </c>
      <c r="AN20" s="131">
        <v>377</v>
      </c>
      <c r="AO20" s="131">
        <v>282.75</v>
      </c>
      <c r="AP20" s="131">
        <v>377</v>
      </c>
      <c r="AQ20" s="143"/>
      <c r="AR20" s="411"/>
      <c r="AS20" s="157" t="s">
        <v>102</v>
      </c>
      <c r="AT20" s="154">
        <v>16</v>
      </c>
      <c r="AU20" s="154">
        <v>1.125</v>
      </c>
      <c r="AV20" s="153">
        <v>448</v>
      </c>
      <c r="AW20" s="153">
        <v>710</v>
      </c>
      <c r="AX20" s="153">
        <v>710</v>
      </c>
      <c r="AY20" s="153">
        <v>560</v>
      </c>
      <c r="AZ20" s="153">
        <v>710</v>
      </c>
      <c r="BA20" s="153">
        <v>381</v>
      </c>
      <c r="BB20" s="153">
        <v>710</v>
      </c>
      <c r="BC20" s="153">
        <v>649</v>
      </c>
      <c r="BD20" s="153">
        <v>710</v>
      </c>
      <c r="BF20" s="87" t="s">
        <v>102</v>
      </c>
      <c r="BG20" s="64">
        <v>16</v>
      </c>
      <c r="BH20" s="64">
        <v>1.125</v>
      </c>
      <c r="BI20" s="130">
        <v>132</v>
      </c>
      <c r="BJ20" s="131">
        <v>132</v>
      </c>
      <c r="BK20" s="131">
        <v>198</v>
      </c>
      <c r="BL20" s="131">
        <v>264</v>
      </c>
    </row>
    <row r="21" spans="1:64" x14ac:dyDescent="0.25">
      <c r="U21" s="135" t="s">
        <v>103</v>
      </c>
      <c r="V21" s="87" t="s">
        <v>199</v>
      </c>
      <c r="W21" s="85">
        <v>4</v>
      </c>
      <c r="X21" s="85">
        <v>0.625</v>
      </c>
      <c r="Y21" s="131">
        <v>33</v>
      </c>
      <c r="Z21" s="131">
        <v>67</v>
      </c>
      <c r="AA21" s="140">
        <v>45</v>
      </c>
      <c r="AB21" s="139" t="s">
        <v>33</v>
      </c>
      <c r="AC21" s="139" t="s">
        <v>33</v>
      </c>
      <c r="AD21" s="139">
        <v>16.820254256037707</v>
      </c>
      <c r="AE21" s="139">
        <v>84.101271280188527</v>
      </c>
      <c r="AF21" s="137">
        <v>38</v>
      </c>
      <c r="AG21" s="131">
        <v>114</v>
      </c>
      <c r="AH21" s="125"/>
      <c r="AI21" s="134" t="s">
        <v>103</v>
      </c>
      <c r="AJ21" s="87" t="s">
        <v>110</v>
      </c>
      <c r="AK21" s="64">
        <v>32</v>
      </c>
      <c r="AL21" s="64">
        <v>1.5</v>
      </c>
      <c r="AM21" s="130">
        <v>308.25</v>
      </c>
      <c r="AN21" s="131">
        <v>411</v>
      </c>
      <c r="AO21" s="131">
        <v>308.25</v>
      </c>
      <c r="AP21" s="131">
        <v>411</v>
      </c>
      <c r="AQ21" s="143"/>
      <c r="AR21" s="411"/>
      <c r="AS21" s="157" t="s">
        <v>103</v>
      </c>
      <c r="AT21" s="154">
        <v>20</v>
      </c>
      <c r="AU21" s="154">
        <v>1.125</v>
      </c>
      <c r="AV21" s="153">
        <v>395</v>
      </c>
      <c r="AW21" s="153">
        <v>710</v>
      </c>
      <c r="AX21" s="153">
        <v>710</v>
      </c>
      <c r="AY21" s="153">
        <v>494</v>
      </c>
      <c r="AZ21" s="153">
        <v>710</v>
      </c>
      <c r="BA21" s="153">
        <v>335</v>
      </c>
      <c r="BB21" s="153">
        <v>710</v>
      </c>
      <c r="BC21" s="153">
        <v>572</v>
      </c>
      <c r="BD21" s="153">
        <v>710</v>
      </c>
      <c r="BF21" s="87" t="s">
        <v>103</v>
      </c>
      <c r="BG21" s="64">
        <v>20</v>
      </c>
      <c r="BH21" s="64">
        <v>1.125</v>
      </c>
      <c r="BI21" s="130">
        <v>124</v>
      </c>
      <c r="BJ21" s="131">
        <v>124</v>
      </c>
      <c r="BK21" s="131">
        <v>186.75</v>
      </c>
      <c r="BL21" s="131">
        <v>249</v>
      </c>
    </row>
    <row r="22" spans="1:64" ht="45" customHeight="1" x14ac:dyDescent="0.4">
      <c r="C22" s="233"/>
      <c r="D22" s="234"/>
      <c r="E22" s="396" t="s">
        <v>447</v>
      </c>
      <c r="F22" s="396"/>
      <c r="G22" s="396"/>
      <c r="H22" s="396"/>
      <c r="I22" s="396"/>
      <c r="J22" s="396"/>
      <c r="K22" s="396"/>
      <c r="L22" s="396"/>
      <c r="M22" s="396"/>
      <c r="N22" s="396"/>
      <c r="O22" s="235"/>
      <c r="U22" s="135" t="s">
        <v>104</v>
      </c>
      <c r="V22" s="87" t="s">
        <v>200</v>
      </c>
      <c r="W22" s="85">
        <v>4</v>
      </c>
      <c r="X22" s="85">
        <v>0.625</v>
      </c>
      <c r="Y22" s="85">
        <v>50</v>
      </c>
      <c r="Z22" s="85">
        <v>102</v>
      </c>
      <c r="AA22" s="87">
        <v>68</v>
      </c>
      <c r="AB22" s="138" t="s">
        <v>33</v>
      </c>
      <c r="AC22" s="138" t="s">
        <v>33</v>
      </c>
      <c r="AD22" s="310">
        <v>30.072098613995735</v>
      </c>
      <c r="AE22" s="311">
        <v>120</v>
      </c>
      <c r="AF22" s="137">
        <v>41</v>
      </c>
      <c r="AG22" s="131">
        <v>120</v>
      </c>
      <c r="AH22" s="125"/>
      <c r="AI22" s="134" t="s">
        <v>104</v>
      </c>
      <c r="AJ22" s="87" t="s">
        <v>111</v>
      </c>
      <c r="AK22" s="64">
        <v>32</v>
      </c>
      <c r="AL22" s="64">
        <v>1.5</v>
      </c>
      <c r="AM22" s="130">
        <v>355.5</v>
      </c>
      <c r="AN22" s="131">
        <v>474</v>
      </c>
      <c r="AO22" s="131">
        <v>355.5</v>
      </c>
      <c r="AP22" s="131">
        <v>474</v>
      </c>
      <c r="AQ22" s="143"/>
      <c r="AR22" s="411"/>
      <c r="AS22" s="157" t="s">
        <v>104</v>
      </c>
      <c r="AT22" s="154">
        <v>20</v>
      </c>
      <c r="AU22" s="154">
        <v>1.25</v>
      </c>
      <c r="AV22" s="153">
        <v>563</v>
      </c>
      <c r="AW22" s="153">
        <v>1000</v>
      </c>
      <c r="AX22" s="153">
        <v>1000</v>
      </c>
      <c r="AY22" s="153">
        <v>704</v>
      </c>
      <c r="AZ22" s="153">
        <v>1000</v>
      </c>
      <c r="BA22" s="153">
        <v>438</v>
      </c>
      <c r="BB22" s="153">
        <v>1000</v>
      </c>
      <c r="BC22" s="153">
        <v>820</v>
      </c>
      <c r="BD22" s="153">
        <v>1000</v>
      </c>
      <c r="BF22" s="87" t="s">
        <v>104</v>
      </c>
      <c r="BG22" s="64">
        <v>20</v>
      </c>
      <c r="BH22" s="64">
        <v>1.25</v>
      </c>
      <c r="BI22" s="130">
        <v>173</v>
      </c>
      <c r="BJ22" s="131">
        <v>173</v>
      </c>
      <c r="BK22" s="131">
        <v>260.25</v>
      </c>
      <c r="BL22" s="131">
        <v>347</v>
      </c>
    </row>
    <row r="23" spans="1:64" ht="13.8" thickBot="1" x14ac:dyDescent="0.3">
      <c r="U23" s="135" t="s">
        <v>105</v>
      </c>
      <c r="V23" s="87" t="s">
        <v>201</v>
      </c>
      <c r="W23" s="85">
        <v>4</v>
      </c>
      <c r="X23" s="85">
        <v>0.75</v>
      </c>
      <c r="Y23" s="85">
        <v>74</v>
      </c>
      <c r="Z23" s="85">
        <v>151</v>
      </c>
      <c r="AA23" s="87">
        <v>101</v>
      </c>
      <c r="AB23" s="138" t="s">
        <v>33</v>
      </c>
      <c r="AC23" s="138" t="s">
        <v>33</v>
      </c>
      <c r="AD23" s="310">
        <v>42.995751235376289</v>
      </c>
      <c r="AE23" s="311">
        <v>199.99999999999997</v>
      </c>
      <c r="AF23" s="137">
        <v>66</v>
      </c>
      <c r="AG23" s="131">
        <v>198</v>
      </c>
      <c r="AH23" s="125"/>
      <c r="AI23" s="134" t="s">
        <v>105</v>
      </c>
      <c r="AJ23" s="87" t="s">
        <v>112</v>
      </c>
      <c r="AK23" s="64">
        <v>36</v>
      </c>
      <c r="AL23" s="64">
        <v>1.5</v>
      </c>
      <c r="AM23" s="130">
        <v>328.5</v>
      </c>
      <c r="AN23" s="131">
        <v>438</v>
      </c>
      <c r="AO23" s="131">
        <v>328.5</v>
      </c>
      <c r="AP23" s="131">
        <v>438</v>
      </c>
      <c r="AQ23" s="143"/>
      <c r="AR23" s="143"/>
      <c r="AS23" s="157" t="s">
        <v>105</v>
      </c>
      <c r="AT23" s="154">
        <v>24</v>
      </c>
      <c r="AU23" s="154">
        <v>1.25</v>
      </c>
      <c r="AV23" s="153">
        <v>666</v>
      </c>
      <c r="AW23" s="153">
        <v>1000</v>
      </c>
      <c r="AX23" s="153">
        <v>1000</v>
      </c>
      <c r="AY23" s="153"/>
      <c r="AZ23" s="153"/>
      <c r="BA23" s="153">
        <v>397.92498280708048</v>
      </c>
      <c r="BB23" s="153">
        <v>1000</v>
      </c>
      <c r="BC23" s="153">
        <v>398</v>
      </c>
      <c r="BD23" s="153">
        <v>1000</v>
      </c>
      <c r="BF23" s="87" t="s">
        <v>105</v>
      </c>
      <c r="BG23" s="64">
        <v>24</v>
      </c>
      <c r="BH23" s="64">
        <v>1.25</v>
      </c>
      <c r="BI23" s="130">
        <v>238.5</v>
      </c>
      <c r="BJ23" s="131">
        <v>318</v>
      </c>
      <c r="BK23" s="131">
        <v>238.5</v>
      </c>
      <c r="BL23" s="131">
        <v>318</v>
      </c>
    </row>
    <row r="24" spans="1:64" ht="18" thickBot="1" x14ac:dyDescent="0.35">
      <c r="D24" s="90" t="s">
        <v>356</v>
      </c>
      <c r="F24" s="397" t="e">
        <f>LOOKUP($H$8,V:V,AB:AB)</f>
        <v>#N/A</v>
      </c>
      <c r="G24" s="399"/>
      <c r="H24" s="398"/>
      <c r="I24" s="123" t="s">
        <v>16</v>
      </c>
      <c r="J24" s="90"/>
      <c r="K24" s="90" t="s">
        <v>357</v>
      </c>
      <c r="L24" s="123"/>
      <c r="M24" s="397" t="e">
        <f>LOOKUP($H$8,V:V,AC:AC)</f>
        <v>#N/A</v>
      </c>
      <c r="N24" s="398"/>
      <c r="O24" s="124" t="s">
        <v>16</v>
      </c>
      <c r="U24" s="135" t="s">
        <v>106</v>
      </c>
      <c r="V24" s="87" t="s">
        <v>202</v>
      </c>
      <c r="W24" s="85">
        <v>8</v>
      </c>
      <c r="X24" s="85">
        <v>0.625</v>
      </c>
      <c r="Y24" s="85">
        <v>53</v>
      </c>
      <c r="Z24" s="85">
        <v>108</v>
      </c>
      <c r="AA24" s="87">
        <v>72</v>
      </c>
      <c r="AB24" s="138" t="s">
        <v>33</v>
      </c>
      <c r="AC24" s="138" t="s">
        <v>33</v>
      </c>
      <c r="AD24" s="310">
        <v>27.338271467268854</v>
      </c>
      <c r="AE24" s="311">
        <v>120</v>
      </c>
      <c r="AF24" s="137">
        <v>37</v>
      </c>
      <c r="AG24" s="131">
        <v>112</v>
      </c>
      <c r="AH24" s="125"/>
      <c r="AI24" s="134" t="s">
        <v>106</v>
      </c>
      <c r="AJ24" s="87" t="s">
        <v>113</v>
      </c>
      <c r="AK24" s="64">
        <v>36</v>
      </c>
      <c r="AL24" s="64">
        <v>1.5</v>
      </c>
      <c r="AM24" s="130">
        <v>354</v>
      </c>
      <c r="AN24" s="131">
        <v>472</v>
      </c>
      <c r="AO24" s="131">
        <v>354</v>
      </c>
      <c r="AP24" s="131">
        <v>472</v>
      </c>
      <c r="AQ24" s="143"/>
      <c r="AR24" s="143"/>
      <c r="AS24" s="157" t="s">
        <v>106</v>
      </c>
      <c r="AT24" s="154">
        <v>28</v>
      </c>
      <c r="AU24" s="154">
        <v>1.25</v>
      </c>
      <c r="AV24" s="153">
        <v>621</v>
      </c>
      <c r="AW24" s="153">
        <v>1000</v>
      </c>
      <c r="AX24" s="153">
        <v>1000</v>
      </c>
      <c r="AY24" s="153"/>
      <c r="AZ24" s="153"/>
      <c r="BA24" s="153">
        <v>366.22720603311296</v>
      </c>
      <c r="BB24" s="153">
        <v>1000</v>
      </c>
      <c r="BC24" s="153">
        <v>366</v>
      </c>
      <c r="BD24" s="153">
        <v>1000</v>
      </c>
      <c r="BF24" s="87" t="s">
        <v>106</v>
      </c>
      <c r="BG24" s="64">
        <v>28</v>
      </c>
      <c r="BH24" s="64">
        <v>1.25</v>
      </c>
      <c r="BI24" s="130">
        <v>224.25</v>
      </c>
      <c r="BJ24" s="131">
        <v>299</v>
      </c>
      <c r="BK24" s="131">
        <v>224.25</v>
      </c>
      <c r="BL24" s="131">
        <v>299</v>
      </c>
    </row>
    <row r="25" spans="1:64" x14ac:dyDescent="0.25">
      <c r="U25" s="135" t="s">
        <v>107</v>
      </c>
      <c r="V25" s="87" t="s">
        <v>203</v>
      </c>
      <c r="W25" s="85">
        <v>8</v>
      </c>
      <c r="X25" s="85">
        <v>0.75</v>
      </c>
      <c r="Y25" s="85">
        <v>70</v>
      </c>
      <c r="Z25" s="85">
        <v>141</v>
      </c>
      <c r="AA25" s="87">
        <v>94</v>
      </c>
      <c r="AB25" s="138" t="s">
        <v>33</v>
      </c>
      <c r="AC25" s="138" t="s">
        <v>33</v>
      </c>
      <c r="AD25" s="310">
        <v>35.352669813523384</v>
      </c>
      <c r="AE25" s="311">
        <v>176.76334906761693</v>
      </c>
      <c r="AF25" s="137">
        <v>48</v>
      </c>
      <c r="AG25" s="131">
        <v>145</v>
      </c>
      <c r="AH25" s="125"/>
      <c r="AI25" s="134" t="s">
        <v>107</v>
      </c>
      <c r="AJ25" s="87" t="s">
        <v>87</v>
      </c>
      <c r="AK25" s="64">
        <v>4</v>
      </c>
      <c r="AL25" s="64">
        <v>0.5</v>
      </c>
      <c r="AM25" s="130">
        <v>14</v>
      </c>
      <c r="AN25" s="131">
        <v>14</v>
      </c>
      <c r="AO25" s="131">
        <v>21</v>
      </c>
      <c r="AP25" s="131">
        <v>28</v>
      </c>
      <c r="AQ25" s="143"/>
      <c r="AR25" s="143"/>
      <c r="AS25" s="157" t="s">
        <v>107</v>
      </c>
      <c r="AT25" s="154">
        <v>28</v>
      </c>
      <c r="AU25" s="154">
        <v>1.25</v>
      </c>
      <c r="AV25" s="153">
        <v>713</v>
      </c>
      <c r="AW25" s="153">
        <v>1000</v>
      </c>
      <c r="AX25" s="153">
        <v>1000</v>
      </c>
      <c r="AY25" s="153"/>
      <c r="AZ25" s="153"/>
      <c r="BA25" s="153">
        <v>391.37585537444261</v>
      </c>
      <c r="BB25" s="153">
        <v>1000</v>
      </c>
      <c r="BC25" s="153">
        <v>391</v>
      </c>
      <c r="BD25" s="153">
        <v>1000</v>
      </c>
      <c r="BF25" s="87" t="s">
        <v>107</v>
      </c>
      <c r="BG25" s="64">
        <v>28</v>
      </c>
      <c r="BH25" s="64">
        <v>1.25</v>
      </c>
      <c r="BI25" s="130">
        <v>248.25</v>
      </c>
      <c r="BJ25" s="131">
        <v>331</v>
      </c>
      <c r="BK25" s="131">
        <v>248.25</v>
      </c>
      <c r="BL25" s="131">
        <v>331</v>
      </c>
    </row>
    <row r="26" spans="1:64" ht="45" customHeight="1" x14ac:dyDescent="0.4">
      <c r="C26" s="233"/>
      <c r="D26" s="234"/>
      <c r="E26" s="396" t="s">
        <v>375</v>
      </c>
      <c r="F26" s="396"/>
      <c r="G26" s="396"/>
      <c r="H26" s="396"/>
      <c r="I26" s="396"/>
      <c r="J26" s="396"/>
      <c r="K26" s="396"/>
      <c r="L26" s="396"/>
      <c r="M26" s="396"/>
      <c r="N26" s="396"/>
      <c r="O26" s="235"/>
      <c r="U26" s="135" t="s">
        <v>108</v>
      </c>
      <c r="V26" s="87" t="s">
        <v>96</v>
      </c>
      <c r="W26" s="85">
        <v>8</v>
      </c>
      <c r="X26" s="85">
        <v>0.75</v>
      </c>
      <c r="Y26" s="131">
        <v>148</v>
      </c>
      <c r="Z26" s="131">
        <v>200</v>
      </c>
      <c r="AA26" s="140">
        <v>200</v>
      </c>
      <c r="AB26" s="139">
        <v>185</v>
      </c>
      <c r="AC26" s="139">
        <v>200</v>
      </c>
      <c r="AD26" s="139">
        <v>137</v>
      </c>
      <c r="AE26" s="139">
        <v>200</v>
      </c>
      <c r="AF26" s="137">
        <v>178</v>
      </c>
      <c r="AG26" s="131">
        <v>200</v>
      </c>
      <c r="AH26" s="125"/>
      <c r="AI26" s="134" t="s">
        <v>108</v>
      </c>
      <c r="AJ26" s="87" t="s">
        <v>114</v>
      </c>
      <c r="AK26" s="64">
        <v>40</v>
      </c>
      <c r="AL26" s="64">
        <v>1.5</v>
      </c>
      <c r="AM26" s="130">
        <v>339</v>
      </c>
      <c r="AN26" s="131">
        <v>452</v>
      </c>
      <c r="AO26" s="131">
        <v>339</v>
      </c>
      <c r="AP26" s="131">
        <v>452</v>
      </c>
      <c r="AQ26" s="143"/>
      <c r="AR26" s="143"/>
      <c r="AS26" s="157" t="s">
        <v>108</v>
      </c>
      <c r="AT26" s="154">
        <v>28</v>
      </c>
      <c r="AU26" s="154">
        <v>1.5</v>
      </c>
      <c r="AV26" s="153">
        <v>858</v>
      </c>
      <c r="AW26" s="153">
        <v>1600</v>
      </c>
      <c r="AX26" s="153">
        <v>1447</v>
      </c>
      <c r="AY26" s="153"/>
      <c r="AZ26" s="153"/>
      <c r="BA26" s="153">
        <v>485.63643873919682</v>
      </c>
      <c r="BB26" s="153">
        <v>1600</v>
      </c>
      <c r="BC26" s="153">
        <v>487</v>
      </c>
      <c r="BD26" s="153">
        <v>1462</v>
      </c>
      <c r="BF26" s="87" t="s">
        <v>108</v>
      </c>
      <c r="BG26" s="64">
        <v>28</v>
      </c>
      <c r="BH26" s="64">
        <v>1.5</v>
      </c>
      <c r="BI26" s="130">
        <v>309</v>
      </c>
      <c r="BJ26" s="131">
        <v>412</v>
      </c>
      <c r="BK26" s="131">
        <v>309</v>
      </c>
      <c r="BL26" s="131">
        <v>412</v>
      </c>
    </row>
    <row r="27" spans="1:64" ht="13.8" thickBot="1" x14ac:dyDescent="0.3">
      <c r="U27" s="135" t="s">
        <v>109</v>
      </c>
      <c r="V27" s="87" t="s">
        <v>204</v>
      </c>
      <c r="W27" s="85">
        <v>8</v>
      </c>
      <c r="X27" s="85">
        <v>0.75</v>
      </c>
      <c r="Y27" s="131">
        <v>102</v>
      </c>
      <c r="Z27" s="131">
        <v>200</v>
      </c>
      <c r="AA27" s="140">
        <v>138</v>
      </c>
      <c r="AB27" s="139" t="s">
        <v>33</v>
      </c>
      <c r="AC27" s="139" t="s">
        <v>33</v>
      </c>
      <c r="AD27" s="139">
        <v>56.889353722911196</v>
      </c>
      <c r="AE27" s="139">
        <v>200</v>
      </c>
      <c r="AF27" s="137">
        <v>71</v>
      </c>
      <c r="AG27" s="131">
        <v>200</v>
      </c>
      <c r="AH27" s="125"/>
      <c r="AI27" s="134" t="s">
        <v>109</v>
      </c>
      <c r="AJ27" s="87" t="s">
        <v>115</v>
      </c>
      <c r="AK27" s="64">
        <v>40</v>
      </c>
      <c r="AL27" s="64">
        <v>1.5</v>
      </c>
      <c r="AM27" s="130">
        <v>354</v>
      </c>
      <c r="AN27" s="131">
        <v>472</v>
      </c>
      <c r="AO27" s="131">
        <v>354</v>
      </c>
      <c r="AP27" s="131">
        <v>472</v>
      </c>
      <c r="AQ27" s="143"/>
      <c r="AR27" s="143"/>
      <c r="AS27" s="157" t="s">
        <v>109</v>
      </c>
      <c r="AT27" s="154">
        <v>32</v>
      </c>
      <c r="AU27" s="154">
        <v>1.5</v>
      </c>
      <c r="AV27" s="153">
        <v>805</v>
      </c>
      <c r="AW27" s="153">
        <v>1600</v>
      </c>
      <c r="AX27" s="153">
        <v>1341</v>
      </c>
      <c r="AY27" s="153"/>
      <c r="AZ27" s="153"/>
      <c r="BA27" s="153">
        <v>450.53983170225388</v>
      </c>
      <c r="BB27" s="153">
        <v>1600</v>
      </c>
      <c r="BC27" s="153">
        <v>452</v>
      </c>
      <c r="BD27" s="153">
        <v>1357</v>
      </c>
      <c r="BF27" s="87" t="s">
        <v>109</v>
      </c>
      <c r="BG27" s="64">
        <v>32</v>
      </c>
      <c r="BH27" s="64">
        <v>1.5</v>
      </c>
      <c r="BI27" s="130">
        <v>282.75</v>
      </c>
      <c r="BJ27" s="131">
        <v>377</v>
      </c>
      <c r="BK27" s="131">
        <v>282.75</v>
      </c>
      <c r="BL27" s="131">
        <v>377</v>
      </c>
    </row>
    <row r="28" spans="1:64" ht="18" thickBot="1" x14ac:dyDescent="0.35">
      <c r="A28" s="2"/>
      <c r="B28" s="2"/>
      <c r="D28" s="90" t="s">
        <v>356</v>
      </c>
      <c r="F28" s="397" t="e">
        <f>LOOKUP($H$8,V:V,AD:AD)</f>
        <v>#N/A</v>
      </c>
      <c r="G28" s="399"/>
      <c r="H28" s="398"/>
      <c r="I28" s="123" t="s">
        <v>16</v>
      </c>
      <c r="J28" s="90"/>
      <c r="K28" s="90" t="s">
        <v>357</v>
      </c>
      <c r="L28" s="123"/>
      <c r="M28" s="397" t="e">
        <f>LOOKUP($H$8,V:V,AE:AE)</f>
        <v>#N/A</v>
      </c>
      <c r="N28" s="398"/>
      <c r="O28" s="124" t="s">
        <v>16</v>
      </c>
      <c r="U28" s="135" t="s">
        <v>110</v>
      </c>
      <c r="V28" s="87" t="s">
        <v>205</v>
      </c>
      <c r="W28" s="85">
        <v>8</v>
      </c>
      <c r="X28" s="85">
        <v>0.875</v>
      </c>
      <c r="Y28" s="131">
        <v>132</v>
      </c>
      <c r="Z28" s="131">
        <v>267</v>
      </c>
      <c r="AA28" s="140">
        <v>178</v>
      </c>
      <c r="AB28" s="139" t="s">
        <v>33</v>
      </c>
      <c r="AC28" s="139" t="s">
        <v>33</v>
      </c>
      <c r="AD28" s="139" t="s">
        <v>33</v>
      </c>
      <c r="AE28" s="139" t="s">
        <v>33</v>
      </c>
      <c r="AF28" s="137" t="s">
        <v>33</v>
      </c>
      <c r="AG28" s="131" t="s">
        <v>33</v>
      </c>
      <c r="AH28" s="125"/>
      <c r="AI28" s="134" t="s">
        <v>110</v>
      </c>
      <c r="AJ28" s="87" t="s">
        <v>116</v>
      </c>
      <c r="AK28" s="64">
        <v>44</v>
      </c>
      <c r="AL28" s="64">
        <v>1.5</v>
      </c>
      <c r="AM28" s="130">
        <v>341.25</v>
      </c>
      <c r="AN28" s="131">
        <v>455</v>
      </c>
      <c r="AO28" s="131">
        <v>341.25</v>
      </c>
      <c r="AP28" s="131">
        <v>455</v>
      </c>
      <c r="AQ28" s="143"/>
      <c r="AR28" s="143"/>
      <c r="AS28" s="157" t="s">
        <v>110</v>
      </c>
      <c r="AT28" s="154">
        <v>32</v>
      </c>
      <c r="AU28" s="154">
        <v>1.5</v>
      </c>
      <c r="AV28" s="153">
        <v>905</v>
      </c>
      <c r="AW28" s="153">
        <v>1600</v>
      </c>
      <c r="AX28" s="153">
        <v>1509</v>
      </c>
      <c r="AY28" s="153"/>
      <c r="AZ28" s="153"/>
      <c r="BA28" s="153">
        <v>564.61159919928832</v>
      </c>
      <c r="BB28" s="153">
        <v>1600</v>
      </c>
      <c r="BC28" s="153">
        <v>566</v>
      </c>
      <c r="BD28" s="153">
        <v>1600</v>
      </c>
      <c r="BF28" s="87" t="s">
        <v>110</v>
      </c>
      <c r="BG28" s="64">
        <v>32</v>
      </c>
      <c r="BH28" s="64">
        <v>1.5</v>
      </c>
      <c r="BI28" s="130">
        <v>308.25</v>
      </c>
      <c r="BJ28" s="131">
        <v>411</v>
      </c>
      <c r="BK28" s="131">
        <v>308.25</v>
      </c>
      <c r="BL28" s="131">
        <v>411</v>
      </c>
    </row>
    <row r="29" spans="1:64" x14ac:dyDescent="0.25">
      <c r="U29" s="135" t="s">
        <v>111</v>
      </c>
      <c r="V29" s="87" t="s">
        <v>206</v>
      </c>
      <c r="W29" s="85">
        <v>8</v>
      </c>
      <c r="X29" s="85">
        <v>0.875</v>
      </c>
      <c r="Y29" s="131">
        <v>167</v>
      </c>
      <c r="Z29" s="131">
        <v>320</v>
      </c>
      <c r="AA29" s="140">
        <v>226</v>
      </c>
      <c r="AB29" s="139" t="s">
        <v>33</v>
      </c>
      <c r="AC29" s="139" t="s">
        <v>33</v>
      </c>
      <c r="AD29" s="139">
        <v>97.383983192739976</v>
      </c>
      <c r="AE29" s="139">
        <v>320</v>
      </c>
      <c r="AF29" s="137">
        <v>149</v>
      </c>
      <c r="AG29" s="131">
        <v>320</v>
      </c>
      <c r="AH29" s="125"/>
      <c r="AI29" s="134" t="s">
        <v>111</v>
      </c>
      <c r="AJ29" s="87" t="s">
        <v>117</v>
      </c>
      <c r="AK29" s="64">
        <v>44</v>
      </c>
      <c r="AL29" s="64">
        <v>1.75</v>
      </c>
      <c r="AM29" s="130">
        <v>470.25</v>
      </c>
      <c r="AN29" s="131">
        <v>627</v>
      </c>
      <c r="AO29" s="131">
        <v>470.25</v>
      </c>
      <c r="AP29" s="131">
        <v>627</v>
      </c>
      <c r="AQ29" s="143"/>
      <c r="AR29" s="143"/>
      <c r="AS29" s="157" t="s">
        <v>111</v>
      </c>
      <c r="AT29" s="154">
        <v>32</v>
      </c>
      <c r="AU29" s="154">
        <v>1.5</v>
      </c>
      <c r="AV29" s="153">
        <v>964</v>
      </c>
      <c r="AW29" s="153">
        <v>1600</v>
      </c>
      <c r="AX29" s="153">
        <v>1600</v>
      </c>
      <c r="AY29" s="153"/>
      <c r="AZ29" s="153"/>
      <c r="BA29" s="153">
        <v>594.87553751482801</v>
      </c>
      <c r="BB29" s="153">
        <v>1600</v>
      </c>
      <c r="BC29" s="153">
        <v>597</v>
      </c>
      <c r="BD29" s="153">
        <v>1600</v>
      </c>
      <c r="BF29" s="87" t="s">
        <v>111</v>
      </c>
      <c r="BG29" s="64">
        <v>32</v>
      </c>
      <c r="BH29" s="64">
        <v>1.5</v>
      </c>
      <c r="BI29" s="130">
        <v>355.5</v>
      </c>
      <c r="BJ29" s="131">
        <v>474</v>
      </c>
      <c r="BK29" s="131">
        <v>355.5</v>
      </c>
      <c r="BL29" s="131">
        <v>474</v>
      </c>
    </row>
    <row r="30" spans="1:64" ht="45" customHeight="1" x14ac:dyDescent="0.4">
      <c r="C30" s="233"/>
      <c r="D30" s="234"/>
      <c r="E30" s="396" t="s">
        <v>39</v>
      </c>
      <c r="F30" s="396"/>
      <c r="G30" s="396"/>
      <c r="H30" s="396"/>
      <c r="I30" s="396"/>
      <c r="J30" s="396"/>
      <c r="K30" s="396"/>
      <c r="L30" s="396"/>
      <c r="M30" s="396"/>
      <c r="N30" s="396"/>
      <c r="O30" s="235"/>
      <c r="U30" s="135" t="s">
        <v>112</v>
      </c>
      <c r="V30" s="87" t="s">
        <v>207</v>
      </c>
      <c r="W30" s="85">
        <v>8</v>
      </c>
      <c r="X30" s="85">
        <v>0.875</v>
      </c>
      <c r="Y30" s="131">
        <v>208</v>
      </c>
      <c r="Z30" s="131">
        <v>320</v>
      </c>
      <c r="AA30" s="140">
        <v>281</v>
      </c>
      <c r="AB30" s="139" t="s">
        <v>33</v>
      </c>
      <c r="AC30" s="139" t="s">
        <v>33</v>
      </c>
      <c r="AD30" s="139">
        <v>122.7887083677804</v>
      </c>
      <c r="AE30" s="139">
        <v>320</v>
      </c>
      <c r="AF30" s="137">
        <v>190</v>
      </c>
      <c r="AG30" s="131">
        <v>320</v>
      </c>
      <c r="AH30" s="125"/>
      <c r="AI30" s="134" t="s">
        <v>112</v>
      </c>
      <c r="AJ30" s="87" t="s">
        <v>118</v>
      </c>
      <c r="AK30" s="64">
        <v>44</v>
      </c>
      <c r="AL30" s="64">
        <v>1.75</v>
      </c>
      <c r="AM30" s="130">
        <v>501.75</v>
      </c>
      <c r="AN30" s="131">
        <v>669</v>
      </c>
      <c r="AO30" s="131">
        <v>501.75</v>
      </c>
      <c r="AP30" s="131">
        <v>669</v>
      </c>
      <c r="AQ30" s="143"/>
      <c r="AR30" s="143"/>
      <c r="AS30" s="157" t="s">
        <v>112</v>
      </c>
      <c r="AT30" s="154">
        <v>36</v>
      </c>
      <c r="AU30" s="154">
        <v>1.5</v>
      </c>
      <c r="AV30" s="153">
        <v>910</v>
      </c>
      <c r="AW30" s="153">
        <v>1600</v>
      </c>
      <c r="AX30" s="153">
        <v>1482</v>
      </c>
      <c r="AY30" s="153"/>
      <c r="AZ30" s="153"/>
      <c r="BA30" s="153">
        <v>555.67953407143796</v>
      </c>
      <c r="BB30" s="153">
        <v>1599.9999999999998</v>
      </c>
      <c r="BC30" s="153">
        <v>557</v>
      </c>
      <c r="BD30" s="153">
        <v>1600</v>
      </c>
      <c r="BF30" s="87" t="s">
        <v>112</v>
      </c>
      <c r="BG30" s="64">
        <v>36</v>
      </c>
      <c r="BH30" s="64">
        <v>1.5</v>
      </c>
      <c r="BI30" s="130">
        <v>328.5</v>
      </c>
      <c r="BJ30" s="131">
        <v>438</v>
      </c>
      <c r="BK30" s="131">
        <v>328.5</v>
      </c>
      <c r="BL30" s="131">
        <v>438</v>
      </c>
    </row>
    <row r="31" spans="1:64" ht="13.8" thickBot="1" x14ac:dyDescent="0.3">
      <c r="U31" s="135" t="s">
        <v>113</v>
      </c>
      <c r="V31" s="87" t="s">
        <v>208</v>
      </c>
      <c r="W31" s="85">
        <v>12</v>
      </c>
      <c r="X31" s="85">
        <v>0.875</v>
      </c>
      <c r="Y31" s="131">
        <v>175</v>
      </c>
      <c r="Z31" s="131">
        <v>320</v>
      </c>
      <c r="AA31" s="140">
        <v>237</v>
      </c>
      <c r="AB31" s="139" t="s">
        <v>33</v>
      </c>
      <c r="AC31" s="139" t="s">
        <v>33</v>
      </c>
      <c r="AD31" s="139">
        <v>105.67260492012207</v>
      </c>
      <c r="AE31" s="139">
        <v>320</v>
      </c>
      <c r="AF31" s="137">
        <v>173</v>
      </c>
      <c r="AG31" s="131">
        <v>320</v>
      </c>
      <c r="AH31" s="125"/>
      <c r="AI31" s="134" t="s">
        <v>113</v>
      </c>
      <c r="AJ31" s="87" t="s">
        <v>119</v>
      </c>
      <c r="AK31" s="64">
        <v>44</v>
      </c>
      <c r="AL31" s="64">
        <v>1.75</v>
      </c>
      <c r="AM31" s="130">
        <v>534.75</v>
      </c>
      <c r="AN31" s="131">
        <v>713</v>
      </c>
      <c r="AO31" s="131">
        <v>534.75</v>
      </c>
      <c r="AP31" s="131">
        <v>713</v>
      </c>
      <c r="AQ31" s="143"/>
      <c r="AR31" s="143"/>
      <c r="AS31" s="157" t="s">
        <v>113</v>
      </c>
      <c r="AT31" s="154">
        <v>36</v>
      </c>
      <c r="AU31" s="154">
        <v>1.5</v>
      </c>
      <c r="AV31" s="153">
        <v>1103</v>
      </c>
      <c r="AW31" s="153">
        <v>1600</v>
      </c>
      <c r="AX31" s="153">
        <v>1600</v>
      </c>
      <c r="AY31" s="153"/>
      <c r="AZ31" s="153"/>
      <c r="BA31" s="153">
        <v>628.30005272176095</v>
      </c>
      <c r="BB31" s="153">
        <v>1600</v>
      </c>
      <c r="BC31" s="153">
        <v>628</v>
      </c>
      <c r="BD31" s="153">
        <v>1600</v>
      </c>
      <c r="BF31" s="87" t="s">
        <v>113</v>
      </c>
      <c r="BG31" s="64">
        <v>36</v>
      </c>
      <c r="BH31" s="64">
        <v>1.5</v>
      </c>
      <c r="BI31" s="130">
        <v>354</v>
      </c>
      <c r="BJ31" s="131">
        <v>472</v>
      </c>
      <c r="BK31" s="131">
        <v>354</v>
      </c>
      <c r="BL31" s="131">
        <v>472</v>
      </c>
    </row>
    <row r="32" spans="1:64" ht="18" thickBot="1" x14ac:dyDescent="0.35">
      <c r="D32" s="90" t="s">
        <v>356</v>
      </c>
      <c r="F32" s="397" t="e">
        <f>LOOKUP($H$8,V:V,AF:AF)</f>
        <v>#N/A</v>
      </c>
      <c r="G32" s="399"/>
      <c r="H32" s="398"/>
      <c r="I32" s="123" t="s">
        <v>16</v>
      </c>
      <c r="J32" s="90"/>
      <c r="K32" s="90" t="s">
        <v>357</v>
      </c>
      <c r="L32" s="123"/>
      <c r="M32" s="397" t="e">
        <f>LOOKUP($H$8,V:V,AG:AG)</f>
        <v>#N/A</v>
      </c>
      <c r="N32" s="398"/>
      <c r="O32" s="124" t="s">
        <v>16</v>
      </c>
      <c r="U32" s="135" t="s">
        <v>114</v>
      </c>
      <c r="V32" s="87" t="s">
        <v>209</v>
      </c>
      <c r="W32" s="85">
        <v>12</v>
      </c>
      <c r="X32" s="85">
        <v>1</v>
      </c>
      <c r="Y32" s="131">
        <v>276</v>
      </c>
      <c r="Z32" s="131">
        <v>490</v>
      </c>
      <c r="AA32" s="140">
        <v>373</v>
      </c>
      <c r="AB32" s="139" t="s">
        <v>33</v>
      </c>
      <c r="AC32" s="139" t="s">
        <v>33</v>
      </c>
      <c r="AD32" s="139">
        <v>170.24681150777263</v>
      </c>
      <c r="AE32" s="139">
        <v>490</v>
      </c>
      <c r="AF32" s="137">
        <v>280</v>
      </c>
      <c r="AG32" s="131">
        <v>490</v>
      </c>
      <c r="AH32" s="125"/>
      <c r="AI32" s="134" t="s">
        <v>114</v>
      </c>
      <c r="AJ32" s="87" t="s">
        <v>120</v>
      </c>
      <c r="AK32" s="64">
        <v>48</v>
      </c>
      <c r="AL32" s="64">
        <v>1.75</v>
      </c>
      <c r="AM32" s="130">
        <v>528.75</v>
      </c>
      <c r="AN32" s="131">
        <v>705</v>
      </c>
      <c r="AO32" s="131">
        <v>528.75</v>
      </c>
      <c r="AP32" s="131">
        <v>705</v>
      </c>
      <c r="AQ32" s="143"/>
      <c r="AR32" s="143"/>
      <c r="AS32" s="157" t="s">
        <v>114</v>
      </c>
      <c r="AT32" s="154">
        <v>40</v>
      </c>
      <c r="AU32" s="154">
        <v>1.5</v>
      </c>
      <c r="AV32" s="153">
        <v>1048</v>
      </c>
      <c r="AW32" s="153">
        <v>1600</v>
      </c>
      <c r="AX32" s="153">
        <v>1600</v>
      </c>
      <c r="AY32" s="153"/>
      <c r="AZ32" s="153"/>
      <c r="BA32" s="153">
        <v>634.66970640569411</v>
      </c>
      <c r="BB32" s="153">
        <v>1600.0000000000002</v>
      </c>
      <c r="BC32" s="153">
        <v>636</v>
      </c>
      <c r="BD32" s="153">
        <v>1600</v>
      </c>
      <c r="BF32" s="87" t="s">
        <v>114</v>
      </c>
      <c r="BG32" s="64">
        <v>40</v>
      </c>
      <c r="BH32" s="64">
        <v>1.5</v>
      </c>
      <c r="BI32" s="130">
        <v>339</v>
      </c>
      <c r="BJ32" s="131">
        <v>452</v>
      </c>
      <c r="BK32" s="131">
        <v>339</v>
      </c>
      <c r="BL32" s="131">
        <v>452</v>
      </c>
    </row>
    <row r="33" spans="1:64" ht="30.75" customHeight="1" thickBot="1" x14ac:dyDescent="0.3">
      <c r="A33" s="3"/>
      <c r="B33" s="3"/>
      <c r="C33" s="401" t="s">
        <v>84</v>
      </c>
      <c r="D33" s="401"/>
      <c r="E33" s="401"/>
      <c r="F33" s="401"/>
      <c r="G33" s="401"/>
      <c r="H33" s="401"/>
      <c r="I33" s="401"/>
      <c r="J33" s="401"/>
      <c r="K33" s="401"/>
      <c r="L33" s="401"/>
      <c r="M33" s="401"/>
      <c r="N33" s="401"/>
      <c r="P33" s="2"/>
      <c r="U33" s="135" t="s">
        <v>115</v>
      </c>
      <c r="V33" s="87" t="s">
        <v>210</v>
      </c>
      <c r="W33" s="85">
        <v>16</v>
      </c>
      <c r="X33" s="85">
        <v>1.125</v>
      </c>
      <c r="Y33" s="131">
        <v>277</v>
      </c>
      <c r="Z33" s="131">
        <v>562</v>
      </c>
      <c r="AA33" s="140">
        <v>375</v>
      </c>
      <c r="AB33" s="139" t="s">
        <v>33</v>
      </c>
      <c r="AC33" s="139" t="s">
        <v>33</v>
      </c>
      <c r="AD33" s="139">
        <v>170.01729238655082</v>
      </c>
      <c r="AE33" s="139">
        <v>710</v>
      </c>
      <c r="AF33" s="137">
        <v>314</v>
      </c>
      <c r="AG33" s="131">
        <v>710</v>
      </c>
      <c r="AH33" s="125"/>
      <c r="AI33" s="134" t="s">
        <v>115</v>
      </c>
      <c r="AJ33" s="87" t="s">
        <v>121</v>
      </c>
      <c r="AK33" s="64">
        <v>48</v>
      </c>
      <c r="AL33" s="64">
        <v>1.75</v>
      </c>
      <c r="AM33" s="130">
        <v>561</v>
      </c>
      <c r="AN33" s="131">
        <v>748</v>
      </c>
      <c r="AO33" s="131">
        <v>561</v>
      </c>
      <c r="AP33" s="131">
        <v>748</v>
      </c>
      <c r="AQ33" s="143"/>
      <c r="AR33" s="143"/>
      <c r="AS33" s="157" t="s">
        <v>115</v>
      </c>
      <c r="AT33" s="154">
        <v>40</v>
      </c>
      <c r="AU33" s="154">
        <v>1.5</v>
      </c>
      <c r="AV33" s="153">
        <v>1104</v>
      </c>
      <c r="AW33" s="153">
        <v>1600</v>
      </c>
      <c r="AX33" s="153">
        <v>1600</v>
      </c>
      <c r="AY33" s="153"/>
      <c r="AZ33" s="153"/>
      <c r="BA33" s="153">
        <v>662.60564946619218</v>
      </c>
      <c r="BB33" s="153">
        <v>1600</v>
      </c>
      <c r="BC33" s="153">
        <v>664</v>
      </c>
      <c r="BD33" s="153">
        <v>1600</v>
      </c>
      <c r="BF33" s="87" t="s">
        <v>115</v>
      </c>
      <c r="BG33" s="64">
        <v>40</v>
      </c>
      <c r="BH33" s="64">
        <v>1.5</v>
      </c>
      <c r="BI33" s="130">
        <v>354</v>
      </c>
      <c r="BJ33" s="131">
        <v>472</v>
      </c>
      <c r="BK33" s="131">
        <v>354</v>
      </c>
      <c r="BL33" s="131">
        <v>472</v>
      </c>
    </row>
    <row r="34" spans="1:64" ht="13.8" thickTop="1" x14ac:dyDescent="0.25">
      <c r="C34" s="141"/>
      <c r="D34" s="141"/>
      <c r="E34" s="141"/>
      <c r="F34" s="141"/>
      <c r="G34" s="141"/>
      <c r="H34" s="141"/>
      <c r="I34" s="141"/>
      <c r="J34" s="141"/>
      <c r="K34" s="141"/>
      <c r="L34" s="141"/>
      <c r="M34" s="141"/>
      <c r="N34" s="141"/>
      <c r="O34" s="141"/>
      <c r="P34" s="2"/>
      <c r="U34" s="135" t="s">
        <v>116</v>
      </c>
      <c r="V34" s="87" t="s">
        <v>211</v>
      </c>
      <c r="W34" s="85">
        <v>16</v>
      </c>
      <c r="X34" s="85">
        <v>1.25</v>
      </c>
      <c r="Y34" s="131">
        <v>407</v>
      </c>
      <c r="Z34" s="131">
        <v>824</v>
      </c>
      <c r="AA34" s="140">
        <v>549</v>
      </c>
      <c r="AB34" s="139" t="s">
        <v>33</v>
      </c>
      <c r="AC34" s="139" t="s">
        <v>33</v>
      </c>
      <c r="AD34" s="139">
        <v>188.23876191492261</v>
      </c>
      <c r="AE34" s="139">
        <v>941.19380957461306</v>
      </c>
      <c r="AF34" s="137">
        <v>456</v>
      </c>
      <c r="AG34" s="131">
        <v>1000</v>
      </c>
      <c r="AH34" s="125"/>
      <c r="AI34" s="134" t="s">
        <v>116</v>
      </c>
      <c r="AJ34" s="87" t="s">
        <v>122</v>
      </c>
      <c r="AK34" s="64">
        <v>52</v>
      </c>
      <c r="AL34" s="64">
        <v>1.75</v>
      </c>
      <c r="AM34" s="130">
        <v>531</v>
      </c>
      <c r="AN34" s="131">
        <v>708</v>
      </c>
      <c r="AO34" s="131">
        <v>531</v>
      </c>
      <c r="AP34" s="131">
        <v>708</v>
      </c>
      <c r="AQ34" s="143"/>
      <c r="AR34" s="143"/>
      <c r="AS34" s="157" t="s">
        <v>116</v>
      </c>
      <c r="AT34" s="154">
        <v>44</v>
      </c>
      <c r="AU34" s="154">
        <v>1.5</v>
      </c>
      <c r="AV34" s="153">
        <v>1141</v>
      </c>
      <c r="AW34" s="153">
        <v>1600</v>
      </c>
      <c r="AX34" s="153">
        <v>1600</v>
      </c>
      <c r="AY34" s="153"/>
      <c r="AZ34" s="153"/>
      <c r="BA34" s="153">
        <v>627.76508411517307</v>
      </c>
      <c r="BB34" s="153">
        <v>1600</v>
      </c>
      <c r="BC34" s="153">
        <v>629</v>
      </c>
      <c r="BD34" s="153">
        <v>1600</v>
      </c>
      <c r="BF34" s="87" t="s">
        <v>116</v>
      </c>
      <c r="BG34" s="64">
        <v>44</v>
      </c>
      <c r="BH34" s="64">
        <v>1.5</v>
      </c>
      <c r="BI34" s="130">
        <v>341.25</v>
      </c>
      <c r="BJ34" s="131">
        <v>455</v>
      </c>
      <c r="BK34" s="131">
        <v>341.25</v>
      </c>
      <c r="BL34" s="131">
        <v>455</v>
      </c>
    </row>
    <row r="35" spans="1:64" ht="26.25" customHeight="1" x14ac:dyDescent="0.25">
      <c r="U35" s="135" t="s">
        <v>117</v>
      </c>
      <c r="V35" s="87" t="s">
        <v>212</v>
      </c>
      <c r="W35" s="85">
        <v>20</v>
      </c>
      <c r="X35" s="85">
        <v>1.25</v>
      </c>
      <c r="Y35" s="131">
        <v>364</v>
      </c>
      <c r="Z35" s="131">
        <v>719</v>
      </c>
      <c r="AA35" s="140">
        <v>479</v>
      </c>
      <c r="AB35" s="139" t="s">
        <v>33</v>
      </c>
      <c r="AC35" s="139" t="s">
        <v>33</v>
      </c>
      <c r="AD35" s="139">
        <v>194.9757281308251</v>
      </c>
      <c r="AE35" s="139">
        <v>974.87864065412543</v>
      </c>
      <c r="AF35" s="137">
        <v>373</v>
      </c>
      <c r="AG35" s="131">
        <v>1000</v>
      </c>
      <c r="AH35" s="125"/>
      <c r="AI35" s="134" t="s">
        <v>117</v>
      </c>
      <c r="AJ35" s="87" t="s">
        <v>123</v>
      </c>
      <c r="AK35" s="64">
        <v>36</v>
      </c>
      <c r="AL35" s="64">
        <v>0.75</v>
      </c>
      <c r="AM35" s="130">
        <v>54.75</v>
      </c>
      <c r="AN35" s="131">
        <v>73</v>
      </c>
      <c r="AO35" s="131">
        <v>54.75</v>
      </c>
      <c r="AP35" s="131">
        <v>73</v>
      </c>
      <c r="AQ35" s="143"/>
      <c r="AR35" s="143"/>
      <c r="AS35" s="157" t="s">
        <v>117</v>
      </c>
      <c r="AT35" s="154">
        <v>44</v>
      </c>
      <c r="AU35" s="154">
        <v>1.75</v>
      </c>
      <c r="AV35" s="153">
        <v>1593</v>
      </c>
      <c r="AW35" s="153">
        <v>3000</v>
      </c>
      <c r="AX35" s="153">
        <v>2614</v>
      </c>
      <c r="AY35" s="153"/>
      <c r="AZ35" s="153"/>
      <c r="BA35" s="153">
        <v>928.08769513314974</v>
      </c>
      <c r="BB35" s="153">
        <v>3000</v>
      </c>
      <c r="BC35" s="153">
        <v>928</v>
      </c>
      <c r="BD35" s="153">
        <v>2784</v>
      </c>
      <c r="BF35" s="87" t="s">
        <v>117</v>
      </c>
      <c r="BG35" s="64">
        <v>44</v>
      </c>
      <c r="BH35" s="64">
        <v>1.75</v>
      </c>
      <c r="BI35" s="130">
        <v>470.25</v>
      </c>
      <c r="BJ35" s="131">
        <v>627</v>
      </c>
      <c r="BK35" s="131">
        <v>470.25</v>
      </c>
      <c r="BL35" s="131">
        <v>627</v>
      </c>
    </row>
    <row r="36" spans="1:64" ht="23.4" x14ac:dyDescent="0.4">
      <c r="C36" s="405" t="s">
        <v>412</v>
      </c>
      <c r="D36" s="406"/>
      <c r="E36" s="406"/>
      <c r="F36" s="406"/>
      <c r="G36" s="406"/>
      <c r="H36" s="406"/>
      <c r="I36" s="406"/>
      <c r="J36" s="406"/>
      <c r="K36" s="406"/>
      <c r="L36" s="406"/>
      <c r="M36" s="406"/>
      <c r="N36" s="406"/>
      <c r="O36" s="407"/>
      <c r="U36" s="135" t="s">
        <v>118</v>
      </c>
      <c r="V36" s="87" t="s">
        <v>213</v>
      </c>
      <c r="W36" s="85">
        <v>20</v>
      </c>
      <c r="X36" s="85">
        <v>1.375</v>
      </c>
      <c r="Y36" s="131">
        <v>505</v>
      </c>
      <c r="Z36" s="131">
        <v>997</v>
      </c>
      <c r="AA36" s="140">
        <v>665</v>
      </c>
      <c r="AB36" s="139" t="s">
        <v>33</v>
      </c>
      <c r="AC36" s="139" t="s">
        <v>33</v>
      </c>
      <c r="AD36" s="139">
        <v>283.21933770998896</v>
      </c>
      <c r="AE36" s="139">
        <v>1360</v>
      </c>
      <c r="AF36" s="137">
        <v>532</v>
      </c>
      <c r="AG36" s="131">
        <v>1360</v>
      </c>
      <c r="AH36" s="125"/>
      <c r="AI36" s="134" t="s">
        <v>118</v>
      </c>
      <c r="AJ36" s="87" t="s">
        <v>88</v>
      </c>
      <c r="AK36" s="64">
        <v>4</v>
      </c>
      <c r="AL36" s="64">
        <v>0.5</v>
      </c>
      <c r="AM36" s="130">
        <v>16</v>
      </c>
      <c r="AN36" s="131">
        <v>16</v>
      </c>
      <c r="AO36" s="131">
        <v>24</v>
      </c>
      <c r="AP36" s="131">
        <v>32</v>
      </c>
      <c r="AQ36" s="143"/>
      <c r="AR36" s="143"/>
      <c r="AS36" s="157" t="s">
        <v>118</v>
      </c>
      <c r="AT36" s="154">
        <v>44</v>
      </c>
      <c r="AU36" s="154">
        <v>1.75</v>
      </c>
      <c r="AV36" s="153">
        <v>1668</v>
      </c>
      <c r="AW36" s="153">
        <v>3000</v>
      </c>
      <c r="AX36" s="153">
        <v>2713</v>
      </c>
      <c r="AY36" s="153"/>
      <c r="AZ36" s="153"/>
      <c r="BA36" s="153">
        <v>964.12993572084486</v>
      </c>
      <c r="BB36" s="153">
        <v>3000</v>
      </c>
      <c r="BC36" s="153">
        <v>964</v>
      </c>
      <c r="BD36" s="153">
        <v>2892</v>
      </c>
      <c r="BF36" s="87" t="s">
        <v>118</v>
      </c>
      <c r="BG36" s="64">
        <v>44</v>
      </c>
      <c r="BH36" s="64">
        <v>1.75</v>
      </c>
      <c r="BI36" s="130">
        <v>501.75</v>
      </c>
      <c r="BJ36" s="131">
        <v>669</v>
      </c>
      <c r="BK36" s="131">
        <v>501.75</v>
      </c>
      <c r="BL36" s="131">
        <v>669</v>
      </c>
    </row>
    <row r="37" spans="1:64" ht="13.8" x14ac:dyDescent="0.25">
      <c r="C37" s="418" t="s">
        <v>291</v>
      </c>
      <c r="D37" s="418"/>
      <c r="E37" s="418"/>
      <c r="F37" s="418"/>
      <c r="G37" s="418"/>
      <c r="H37" s="418"/>
      <c r="I37" s="418"/>
      <c r="J37" s="418"/>
      <c r="K37" s="418"/>
      <c r="L37" s="418"/>
      <c r="M37" s="418"/>
      <c r="N37" s="418"/>
      <c r="O37" s="418"/>
      <c r="U37" s="135" t="s">
        <v>119</v>
      </c>
      <c r="V37" s="87" t="s">
        <v>97</v>
      </c>
      <c r="W37" s="85">
        <v>8</v>
      </c>
      <c r="X37" s="85">
        <v>0.75</v>
      </c>
      <c r="Y37" s="131">
        <v>200</v>
      </c>
      <c r="Z37" s="131">
        <v>200</v>
      </c>
      <c r="AA37" s="140">
        <v>200</v>
      </c>
      <c r="AB37" s="139">
        <v>250</v>
      </c>
      <c r="AC37" s="139">
        <v>200</v>
      </c>
      <c r="AD37" s="139">
        <v>190</v>
      </c>
      <c r="AE37" s="139">
        <v>200</v>
      </c>
      <c r="AF37" s="137">
        <v>200</v>
      </c>
      <c r="AG37" s="131">
        <v>200</v>
      </c>
      <c r="AH37" s="125"/>
      <c r="AI37" s="134" t="s">
        <v>119</v>
      </c>
      <c r="AJ37" s="87" t="s">
        <v>124</v>
      </c>
      <c r="AK37" s="64">
        <v>40</v>
      </c>
      <c r="AL37" s="64">
        <v>0.75</v>
      </c>
      <c r="AM37" s="130">
        <v>52.5</v>
      </c>
      <c r="AN37" s="131">
        <v>70</v>
      </c>
      <c r="AO37" s="131">
        <v>52.5</v>
      </c>
      <c r="AP37" s="131">
        <v>70</v>
      </c>
      <c r="AQ37" s="143"/>
      <c r="AR37" s="143"/>
      <c r="AS37" s="157" t="s">
        <v>119</v>
      </c>
      <c r="AT37" s="154">
        <v>44</v>
      </c>
      <c r="AU37" s="154">
        <v>1.75</v>
      </c>
      <c r="AV37" s="153">
        <v>1744</v>
      </c>
      <c r="AW37" s="153">
        <v>3000</v>
      </c>
      <c r="AX37" s="153">
        <v>2812</v>
      </c>
      <c r="AY37" s="153"/>
      <c r="AZ37" s="153"/>
      <c r="BA37" s="153">
        <v>1000.17217630854</v>
      </c>
      <c r="BB37" s="153">
        <v>3000</v>
      </c>
      <c r="BC37" s="153">
        <v>1000</v>
      </c>
      <c r="BD37" s="153">
        <v>3000</v>
      </c>
      <c r="BF37" s="87" t="s">
        <v>119</v>
      </c>
      <c r="BG37" s="64">
        <v>44</v>
      </c>
      <c r="BH37" s="64">
        <v>1.75</v>
      </c>
      <c r="BI37" s="130">
        <v>534.75</v>
      </c>
      <c r="BJ37" s="131">
        <v>713</v>
      </c>
      <c r="BK37" s="131">
        <v>534.75</v>
      </c>
      <c r="BL37" s="131">
        <v>713</v>
      </c>
    </row>
    <row r="38" spans="1:64" x14ac:dyDescent="0.25">
      <c r="C38" s="394" t="s">
        <v>409</v>
      </c>
      <c r="D38" s="401"/>
      <c r="E38" s="401"/>
      <c r="F38" s="401"/>
      <c r="G38" s="401"/>
      <c r="H38" s="401"/>
      <c r="I38" s="401"/>
      <c r="J38" s="401"/>
      <c r="K38" s="401"/>
      <c r="L38" s="401"/>
      <c r="M38" s="401"/>
      <c r="N38" s="401"/>
      <c r="O38" s="401"/>
      <c r="U38" s="135" t="s">
        <v>120</v>
      </c>
      <c r="V38" s="87" t="s">
        <v>214</v>
      </c>
      <c r="W38" s="85">
        <v>24</v>
      </c>
      <c r="X38" s="85">
        <v>1.375</v>
      </c>
      <c r="Y38" s="131">
        <v>556</v>
      </c>
      <c r="Z38" s="131">
        <v>1127</v>
      </c>
      <c r="AA38" s="140">
        <v>751</v>
      </c>
      <c r="AB38" s="139" t="s">
        <v>33</v>
      </c>
      <c r="AC38" s="139" t="s">
        <v>33</v>
      </c>
      <c r="AD38" s="139">
        <v>306.33928364549826</v>
      </c>
      <c r="AE38" s="139">
        <v>1360</v>
      </c>
      <c r="AF38" s="137">
        <v>567</v>
      </c>
      <c r="AG38" s="131">
        <v>1360</v>
      </c>
      <c r="AH38" s="125"/>
      <c r="AI38" s="134" t="s">
        <v>120</v>
      </c>
      <c r="AJ38" s="87" t="s">
        <v>125</v>
      </c>
      <c r="AK38" s="64">
        <v>44</v>
      </c>
      <c r="AL38" s="64">
        <v>0.75</v>
      </c>
      <c r="AM38" s="130">
        <v>51</v>
      </c>
      <c r="AN38" s="131">
        <v>68</v>
      </c>
      <c r="AO38" s="131">
        <v>51</v>
      </c>
      <c r="AP38" s="131">
        <v>68</v>
      </c>
      <c r="AQ38" s="143"/>
      <c r="AR38" s="143"/>
      <c r="AS38" s="157" t="s">
        <v>120</v>
      </c>
      <c r="AT38" s="154">
        <v>48</v>
      </c>
      <c r="AU38" s="154">
        <v>1.75</v>
      </c>
      <c r="AV38" s="153">
        <v>1792</v>
      </c>
      <c r="AW38" s="153">
        <v>3000</v>
      </c>
      <c r="AX38" s="153">
        <v>2924</v>
      </c>
      <c r="AY38" s="153"/>
      <c r="AZ38" s="153"/>
      <c r="BA38" s="153">
        <v>949.86321548821547</v>
      </c>
      <c r="BB38" s="153">
        <v>3000</v>
      </c>
      <c r="BC38" s="153">
        <v>950</v>
      </c>
      <c r="BD38" s="153">
        <v>2850</v>
      </c>
      <c r="BF38" s="87" t="s">
        <v>120</v>
      </c>
      <c r="BG38" s="64">
        <v>48</v>
      </c>
      <c r="BH38" s="64">
        <v>1.75</v>
      </c>
      <c r="BI38" s="130">
        <v>528.75</v>
      </c>
      <c r="BJ38" s="131">
        <v>705</v>
      </c>
      <c r="BK38" s="131">
        <v>528.75</v>
      </c>
      <c r="BL38" s="131">
        <v>705</v>
      </c>
    </row>
    <row r="39" spans="1:64" x14ac:dyDescent="0.25">
      <c r="U39" s="135" t="s">
        <v>121</v>
      </c>
      <c r="V39" s="87" t="s">
        <v>215</v>
      </c>
      <c r="W39" s="85">
        <v>24</v>
      </c>
      <c r="X39" s="85">
        <v>1.5</v>
      </c>
      <c r="Y39" s="131">
        <v>593</v>
      </c>
      <c r="Z39" s="131">
        <v>1201</v>
      </c>
      <c r="AA39" s="140">
        <v>801</v>
      </c>
      <c r="AB39" s="139" t="s">
        <v>33</v>
      </c>
      <c r="AC39" s="139" t="s">
        <v>33</v>
      </c>
      <c r="AD39" s="139">
        <v>326.0846467249192</v>
      </c>
      <c r="AE39" s="139">
        <v>1600</v>
      </c>
      <c r="AF39" s="137">
        <v>604</v>
      </c>
      <c r="AG39" s="131">
        <v>1600</v>
      </c>
      <c r="AH39" s="125"/>
      <c r="AI39" s="134" t="s">
        <v>121</v>
      </c>
      <c r="AJ39" s="87" t="s">
        <v>126</v>
      </c>
      <c r="AK39" s="64">
        <v>48</v>
      </c>
      <c r="AL39" s="64">
        <v>0.75</v>
      </c>
      <c r="AM39" s="130">
        <v>51</v>
      </c>
      <c r="AN39" s="131">
        <v>68</v>
      </c>
      <c r="AO39" s="131">
        <v>51</v>
      </c>
      <c r="AP39" s="131">
        <v>68</v>
      </c>
      <c r="AQ39" s="143"/>
      <c r="AR39" s="143"/>
      <c r="AS39" s="157" t="s">
        <v>121</v>
      </c>
      <c r="AT39" s="154">
        <v>48</v>
      </c>
      <c r="AU39" s="154">
        <v>1.75</v>
      </c>
      <c r="AV39" s="153">
        <v>1868</v>
      </c>
      <c r="AW39" s="153">
        <v>3000</v>
      </c>
      <c r="AX39" s="153">
        <v>3000</v>
      </c>
      <c r="AY39" s="153"/>
      <c r="AZ39" s="153"/>
      <c r="BA39" s="153">
        <v>982.90193602693614</v>
      </c>
      <c r="BB39" s="153">
        <v>3000</v>
      </c>
      <c r="BC39" s="153">
        <v>983</v>
      </c>
      <c r="BD39" s="153">
        <v>2949</v>
      </c>
      <c r="BF39" s="87" t="s">
        <v>121</v>
      </c>
      <c r="BG39" s="64">
        <v>48</v>
      </c>
      <c r="BH39" s="64">
        <v>1.75</v>
      </c>
      <c r="BI39" s="130">
        <v>561</v>
      </c>
      <c r="BJ39" s="131">
        <v>748</v>
      </c>
      <c r="BK39" s="131">
        <v>561</v>
      </c>
      <c r="BL39" s="131">
        <v>748</v>
      </c>
    </row>
    <row r="40" spans="1:64" ht="13.8" thickBot="1" x14ac:dyDescent="0.3">
      <c r="U40" s="135" t="s">
        <v>122</v>
      </c>
      <c r="V40" s="87" t="s">
        <v>216</v>
      </c>
      <c r="W40" s="85">
        <v>24</v>
      </c>
      <c r="X40" s="85">
        <v>1.75</v>
      </c>
      <c r="Y40" s="131">
        <v>1018</v>
      </c>
      <c r="Z40" s="131">
        <v>2064</v>
      </c>
      <c r="AA40" s="140">
        <v>1376</v>
      </c>
      <c r="AB40" s="139" t="s">
        <v>33</v>
      </c>
      <c r="AC40" s="139" t="s">
        <v>33</v>
      </c>
      <c r="AD40" s="139">
        <v>513.18629994719629</v>
      </c>
      <c r="AE40" s="139">
        <v>2565.9314997359816</v>
      </c>
      <c r="AF40" s="137">
        <v>962</v>
      </c>
      <c r="AG40" s="131">
        <v>2887</v>
      </c>
      <c r="AH40" s="125"/>
      <c r="AI40" s="134" t="s">
        <v>122</v>
      </c>
      <c r="AJ40" s="87" t="s">
        <v>127</v>
      </c>
      <c r="AK40" s="64">
        <v>40</v>
      </c>
      <c r="AL40" s="64">
        <v>0.875</v>
      </c>
      <c r="AM40" s="130">
        <v>83.25</v>
      </c>
      <c r="AN40" s="131">
        <v>111</v>
      </c>
      <c r="AO40" s="131">
        <v>83.25</v>
      </c>
      <c r="AP40" s="131">
        <v>111</v>
      </c>
      <c r="AQ40" s="143"/>
      <c r="AR40" s="143"/>
      <c r="AS40" s="157" t="s">
        <v>122</v>
      </c>
      <c r="AT40" s="154">
        <v>52</v>
      </c>
      <c r="AU40" s="154">
        <v>1.75</v>
      </c>
      <c r="AV40" s="153">
        <v>1795</v>
      </c>
      <c r="AW40" s="153">
        <v>3000</v>
      </c>
      <c r="AX40" s="153">
        <v>2882</v>
      </c>
      <c r="AY40" s="153"/>
      <c r="AZ40" s="153"/>
      <c r="BA40" s="153">
        <v>937.7913752913754</v>
      </c>
      <c r="BB40" s="153">
        <v>3000</v>
      </c>
      <c r="BC40" s="153">
        <v>938</v>
      </c>
      <c r="BD40" s="153">
        <v>2813</v>
      </c>
      <c r="BF40" s="87" t="s">
        <v>122</v>
      </c>
      <c r="BG40" s="64">
        <v>52</v>
      </c>
      <c r="BH40" s="64">
        <v>1.75</v>
      </c>
      <c r="BI40" s="130">
        <v>531</v>
      </c>
      <c r="BJ40" s="131">
        <v>708</v>
      </c>
      <c r="BK40" s="131">
        <v>531</v>
      </c>
      <c r="BL40" s="131">
        <v>708</v>
      </c>
    </row>
    <row r="41" spans="1:64" ht="18" thickBot="1" x14ac:dyDescent="0.35">
      <c r="F41" s="104" t="s">
        <v>333</v>
      </c>
      <c r="H41" s="402"/>
      <c r="I41" s="403"/>
      <c r="J41" s="403"/>
      <c r="K41" s="403"/>
      <c r="L41" s="403"/>
      <c r="M41" s="404"/>
      <c r="U41" s="135" t="s">
        <v>123</v>
      </c>
      <c r="V41" s="87" t="s">
        <v>217</v>
      </c>
      <c r="W41" s="85">
        <v>4</v>
      </c>
      <c r="X41" s="85">
        <v>0.5</v>
      </c>
      <c r="Y41" s="131">
        <v>18</v>
      </c>
      <c r="Z41" s="131">
        <v>28</v>
      </c>
      <c r="AA41" s="140">
        <v>19</v>
      </c>
      <c r="AB41" s="139" t="s">
        <v>33</v>
      </c>
      <c r="AC41" s="139" t="s">
        <v>33</v>
      </c>
      <c r="AD41" s="139">
        <v>8.426916130204404</v>
      </c>
      <c r="AE41" s="139">
        <v>42.134580651022027</v>
      </c>
      <c r="AF41" s="137">
        <v>16</v>
      </c>
      <c r="AG41" s="131">
        <v>47</v>
      </c>
      <c r="AH41" s="125"/>
      <c r="AI41" s="134" t="s">
        <v>123</v>
      </c>
      <c r="AJ41" s="87" t="s">
        <v>128</v>
      </c>
      <c r="AK41" s="64">
        <v>44</v>
      </c>
      <c r="AL41" s="64">
        <v>0.875</v>
      </c>
      <c r="AM41" s="130">
        <v>80.25</v>
      </c>
      <c r="AN41" s="131">
        <v>107</v>
      </c>
      <c r="AO41" s="131">
        <v>80.25</v>
      </c>
      <c r="AP41" s="131">
        <v>107</v>
      </c>
      <c r="AQ41" s="143"/>
      <c r="AR41" s="143"/>
      <c r="AS41" s="157" t="s">
        <v>123</v>
      </c>
      <c r="AT41" s="154">
        <v>36</v>
      </c>
      <c r="AU41" s="154">
        <v>0.75</v>
      </c>
      <c r="AV41" s="153">
        <v>172</v>
      </c>
      <c r="AW41" s="153">
        <v>200</v>
      </c>
      <c r="AX41" s="153">
        <v>200</v>
      </c>
      <c r="AY41" s="153"/>
      <c r="AZ41" s="153"/>
      <c r="BA41" s="312">
        <v>130.03280850951131</v>
      </c>
      <c r="BB41" s="312">
        <v>200.00000000000003</v>
      </c>
      <c r="BC41" s="153">
        <v>130</v>
      </c>
      <c r="BD41" s="153">
        <v>200</v>
      </c>
      <c r="BF41" s="87" t="s">
        <v>123</v>
      </c>
      <c r="BG41" s="64">
        <v>36</v>
      </c>
      <c r="BH41" s="64">
        <v>0.75</v>
      </c>
      <c r="BI41" s="130">
        <v>54.75</v>
      </c>
      <c r="BJ41" s="131">
        <v>73</v>
      </c>
      <c r="BK41" s="131">
        <v>54.75</v>
      </c>
      <c r="BL41" s="131">
        <v>73</v>
      </c>
    </row>
    <row r="42" spans="1:64" x14ac:dyDescent="0.25">
      <c r="H42" s="400" t="s">
        <v>426</v>
      </c>
      <c r="I42" s="400"/>
      <c r="J42" s="400"/>
      <c r="K42" s="400"/>
      <c r="L42" s="400"/>
      <c r="M42" s="400"/>
      <c r="U42" s="135" t="s">
        <v>124</v>
      </c>
      <c r="V42" s="87" t="s">
        <v>218</v>
      </c>
      <c r="W42" s="85">
        <v>4</v>
      </c>
      <c r="X42" s="85">
        <v>0.625</v>
      </c>
      <c r="Y42" s="131">
        <v>32</v>
      </c>
      <c r="Z42" s="131">
        <v>50</v>
      </c>
      <c r="AA42" s="140">
        <v>34</v>
      </c>
      <c r="AB42" s="139" t="s">
        <v>33</v>
      </c>
      <c r="AC42" s="139" t="s">
        <v>33</v>
      </c>
      <c r="AD42" s="139">
        <v>13.583184208141336</v>
      </c>
      <c r="AE42" s="139">
        <v>67.915921040706678</v>
      </c>
      <c r="AF42" s="137">
        <v>28</v>
      </c>
      <c r="AG42" s="131">
        <v>84</v>
      </c>
      <c r="AH42" s="125"/>
      <c r="AI42" s="134" t="s">
        <v>124</v>
      </c>
      <c r="AJ42" s="87" t="s">
        <v>129</v>
      </c>
      <c r="AK42" s="64">
        <v>40</v>
      </c>
      <c r="AL42" s="64">
        <v>1</v>
      </c>
      <c r="AM42" s="130">
        <v>121.5</v>
      </c>
      <c r="AN42" s="131">
        <v>162</v>
      </c>
      <c r="AO42" s="131">
        <v>121.5</v>
      </c>
      <c r="AP42" s="131">
        <v>162</v>
      </c>
      <c r="AQ42" s="143"/>
      <c r="AR42" s="143"/>
      <c r="AS42" s="157" t="s">
        <v>124</v>
      </c>
      <c r="AT42" s="154">
        <v>40</v>
      </c>
      <c r="AU42" s="154">
        <v>0.75</v>
      </c>
      <c r="AV42" s="153">
        <v>170</v>
      </c>
      <c r="AW42" s="153">
        <v>200</v>
      </c>
      <c r="AX42" s="153">
        <v>200</v>
      </c>
      <c r="AY42" s="153"/>
      <c r="AZ42" s="153"/>
      <c r="BA42" s="312">
        <v>125.69838155919426</v>
      </c>
      <c r="BB42" s="312">
        <v>200</v>
      </c>
      <c r="BC42" s="153">
        <v>126</v>
      </c>
      <c r="BD42" s="153">
        <v>200</v>
      </c>
      <c r="BF42" s="87" t="s">
        <v>124</v>
      </c>
      <c r="BG42" s="64">
        <v>40</v>
      </c>
      <c r="BH42" s="64">
        <v>0.75</v>
      </c>
      <c r="BI42" s="130">
        <v>52.5</v>
      </c>
      <c r="BJ42" s="131">
        <v>70</v>
      </c>
      <c r="BK42" s="131">
        <v>52.5</v>
      </c>
      <c r="BL42" s="131">
        <v>70</v>
      </c>
    </row>
    <row r="43" spans="1:64" ht="13.8" thickBot="1" x14ac:dyDescent="0.3">
      <c r="U43" s="135" t="s">
        <v>125</v>
      </c>
      <c r="V43" s="87" t="s">
        <v>219</v>
      </c>
      <c r="W43" s="85">
        <v>4</v>
      </c>
      <c r="X43" s="85">
        <v>0.625</v>
      </c>
      <c r="Y43" s="131">
        <v>42</v>
      </c>
      <c r="Z43" s="131">
        <v>67</v>
      </c>
      <c r="AA43" s="140">
        <v>45</v>
      </c>
      <c r="AB43" s="139" t="s">
        <v>33</v>
      </c>
      <c r="AC43" s="139" t="s">
        <v>33</v>
      </c>
      <c r="AD43" s="139">
        <v>16.820254256037707</v>
      </c>
      <c r="AE43" s="139">
        <v>84.101271280188527</v>
      </c>
      <c r="AF43" s="137">
        <v>38</v>
      </c>
      <c r="AG43" s="131">
        <v>114</v>
      </c>
      <c r="AH43" s="125"/>
      <c r="AI43" s="134" t="s">
        <v>125</v>
      </c>
      <c r="AJ43" s="87" t="s">
        <v>130</v>
      </c>
      <c r="AK43" s="64">
        <v>44</v>
      </c>
      <c r="AL43" s="64">
        <v>1</v>
      </c>
      <c r="AM43" s="130">
        <v>114.75</v>
      </c>
      <c r="AN43" s="131">
        <v>153</v>
      </c>
      <c r="AO43" s="131">
        <v>114.75</v>
      </c>
      <c r="AP43" s="131">
        <v>153</v>
      </c>
      <c r="AQ43" s="143"/>
      <c r="AR43" s="143"/>
      <c r="AS43" s="157" t="s">
        <v>125</v>
      </c>
      <c r="AT43" s="154">
        <v>44</v>
      </c>
      <c r="AU43" s="154">
        <v>0.75</v>
      </c>
      <c r="AV43" s="153">
        <v>169</v>
      </c>
      <c r="AW43" s="153">
        <v>200</v>
      </c>
      <c r="AX43" s="153">
        <v>200</v>
      </c>
      <c r="AY43" s="153"/>
      <c r="AZ43" s="153"/>
      <c r="BA43" s="312">
        <v>122.15203223620759</v>
      </c>
      <c r="BB43" s="312">
        <v>200</v>
      </c>
      <c r="BC43" s="153">
        <v>122</v>
      </c>
      <c r="BD43" s="153">
        <v>200</v>
      </c>
      <c r="BF43" s="87" t="s">
        <v>125</v>
      </c>
      <c r="BG43" s="64">
        <v>44</v>
      </c>
      <c r="BH43" s="64">
        <v>0.75</v>
      </c>
      <c r="BI43" s="130">
        <v>51</v>
      </c>
      <c r="BJ43" s="131">
        <v>68</v>
      </c>
      <c r="BK43" s="131">
        <v>51</v>
      </c>
      <c r="BL43" s="131">
        <v>68</v>
      </c>
    </row>
    <row r="44" spans="1:64" ht="18" thickBot="1" x14ac:dyDescent="0.35">
      <c r="F44" s="90" t="s">
        <v>34</v>
      </c>
      <c r="H44" s="102" t="e">
        <f>LOOKUP($H$41,AJ:AJ,AK:AK)</f>
        <v>#N/A</v>
      </c>
      <c r="I44" s="121"/>
      <c r="J44" s="2"/>
      <c r="K44" s="90" t="s">
        <v>35</v>
      </c>
      <c r="M44" s="103" t="e">
        <f>LOOKUP($H$41,AJ:AJ,AL:AL)</f>
        <v>#N/A</v>
      </c>
      <c r="N44" s="71" t="s">
        <v>37</v>
      </c>
      <c r="U44" s="135" t="s">
        <v>126</v>
      </c>
      <c r="V44" s="87" t="s">
        <v>220</v>
      </c>
      <c r="W44" s="85">
        <v>4</v>
      </c>
      <c r="X44" s="85">
        <v>0.625</v>
      </c>
      <c r="Y44" s="131">
        <v>64</v>
      </c>
      <c r="Z44" s="131">
        <v>102</v>
      </c>
      <c r="AA44" s="140">
        <v>68</v>
      </c>
      <c r="AB44" s="139" t="s">
        <v>33</v>
      </c>
      <c r="AC44" s="139" t="s">
        <v>33</v>
      </c>
      <c r="AD44" s="139">
        <v>30.072098613995735</v>
      </c>
      <c r="AE44" s="139">
        <v>120</v>
      </c>
      <c r="AF44" s="137">
        <v>41</v>
      </c>
      <c r="AG44" s="131">
        <v>120</v>
      </c>
      <c r="AH44" s="125"/>
      <c r="AI44" s="134" t="s">
        <v>126</v>
      </c>
      <c r="AJ44" s="87" t="s">
        <v>131</v>
      </c>
      <c r="AK44" s="64">
        <v>48</v>
      </c>
      <c r="AL44" s="64">
        <v>1</v>
      </c>
      <c r="AM44" s="130">
        <v>109.5</v>
      </c>
      <c r="AN44" s="131">
        <v>146</v>
      </c>
      <c r="AO44" s="131">
        <v>109.5</v>
      </c>
      <c r="AP44" s="131">
        <v>146</v>
      </c>
      <c r="AQ44" s="143"/>
      <c r="AR44" s="143"/>
      <c r="AS44" s="157" t="s">
        <v>126</v>
      </c>
      <c r="AT44" s="154">
        <v>48</v>
      </c>
      <c r="AU44" s="154">
        <v>0.75</v>
      </c>
      <c r="AV44" s="153">
        <v>168</v>
      </c>
      <c r="AW44" s="153">
        <v>200</v>
      </c>
      <c r="AX44" s="153">
        <v>200</v>
      </c>
      <c r="AY44" s="153"/>
      <c r="AZ44" s="153"/>
      <c r="BA44" s="312">
        <v>119.1967411337187</v>
      </c>
      <c r="BB44" s="312">
        <v>200.00000000000003</v>
      </c>
      <c r="BC44" s="153">
        <v>119</v>
      </c>
      <c r="BD44" s="153">
        <v>200</v>
      </c>
      <c r="BF44" s="87" t="s">
        <v>126</v>
      </c>
      <c r="BG44" s="64">
        <v>48</v>
      </c>
      <c r="BH44" s="64">
        <v>0.75</v>
      </c>
      <c r="BI44" s="130">
        <v>51</v>
      </c>
      <c r="BJ44" s="131">
        <v>68</v>
      </c>
      <c r="BK44" s="131">
        <v>51</v>
      </c>
      <c r="BL44" s="131">
        <v>68</v>
      </c>
    </row>
    <row r="45" spans="1:64" x14ac:dyDescent="0.25">
      <c r="U45" s="135" t="s">
        <v>127</v>
      </c>
      <c r="V45" s="87" t="s">
        <v>221</v>
      </c>
      <c r="W45" s="85">
        <v>4</v>
      </c>
      <c r="X45" s="85">
        <v>0.75</v>
      </c>
      <c r="Y45" s="131">
        <v>95</v>
      </c>
      <c r="Z45" s="131">
        <v>151</v>
      </c>
      <c r="AA45" s="140">
        <v>101</v>
      </c>
      <c r="AB45" s="139" t="s">
        <v>33</v>
      </c>
      <c r="AC45" s="139" t="s">
        <v>33</v>
      </c>
      <c r="AD45" s="139">
        <v>42.995751235376289</v>
      </c>
      <c r="AE45" s="139">
        <v>199.99999999999997</v>
      </c>
      <c r="AF45" s="137">
        <v>66</v>
      </c>
      <c r="AG45" s="131">
        <v>198</v>
      </c>
      <c r="AH45" s="125"/>
      <c r="AI45" s="134" t="s">
        <v>127</v>
      </c>
      <c r="AJ45" s="87" t="s">
        <v>132</v>
      </c>
      <c r="AK45" s="64">
        <v>52</v>
      </c>
      <c r="AL45" s="64">
        <v>1</v>
      </c>
      <c r="AM45" s="130">
        <v>105.75</v>
      </c>
      <c r="AN45" s="131">
        <v>141</v>
      </c>
      <c r="AO45" s="131">
        <v>105.75</v>
      </c>
      <c r="AP45" s="131">
        <v>141</v>
      </c>
      <c r="AQ45" s="143"/>
      <c r="AR45" s="143"/>
      <c r="AS45" s="157" t="s">
        <v>127</v>
      </c>
      <c r="AT45" s="154">
        <v>40</v>
      </c>
      <c r="AU45" s="154">
        <v>0.875</v>
      </c>
      <c r="AV45" s="153">
        <v>273</v>
      </c>
      <c r="AW45" s="153">
        <v>320</v>
      </c>
      <c r="AX45" s="153">
        <v>320</v>
      </c>
      <c r="AY45" s="153"/>
      <c r="AZ45" s="153"/>
      <c r="BA45" s="312">
        <v>219.4678638769719</v>
      </c>
      <c r="BB45" s="312">
        <v>319.99999999999994</v>
      </c>
      <c r="BC45" s="153">
        <v>219</v>
      </c>
      <c r="BD45" s="153">
        <v>320</v>
      </c>
      <c r="BF45" s="87" t="s">
        <v>127</v>
      </c>
      <c r="BG45" s="64">
        <v>40</v>
      </c>
      <c r="BH45" s="64">
        <v>0.875</v>
      </c>
      <c r="BI45" s="130">
        <v>83.25</v>
      </c>
      <c r="BJ45" s="131">
        <v>111</v>
      </c>
      <c r="BK45" s="131">
        <v>83.25</v>
      </c>
      <c r="BL45" s="131">
        <v>111</v>
      </c>
    </row>
    <row r="46" spans="1:64" x14ac:dyDescent="0.25">
      <c r="U46" s="135" t="s">
        <v>128</v>
      </c>
      <c r="V46" s="87" t="s">
        <v>222</v>
      </c>
      <c r="W46" s="85">
        <v>8</v>
      </c>
      <c r="X46" s="85">
        <v>0.625</v>
      </c>
      <c r="Y46" s="131">
        <v>68</v>
      </c>
      <c r="Z46" s="131">
        <v>108</v>
      </c>
      <c r="AA46" s="140">
        <v>72</v>
      </c>
      <c r="AB46" s="139" t="s">
        <v>33</v>
      </c>
      <c r="AC46" s="139" t="s">
        <v>33</v>
      </c>
      <c r="AD46" s="139">
        <v>27.338271467268854</v>
      </c>
      <c r="AE46" s="139">
        <v>120</v>
      </c>
      <c r="AF46" s="137">
        <v>37</v>
      </c>
      <c r="AG46" s="131">
        <v>112</v>
      </c>
      <c r="AH46" s="125"/>
      <c r="AI46" s="134" t="s">
        <v>128</v>
      </c>
      <c r="AJ46" s="87" t="s">
        <v>133</v>
      </c>
      <c r="AK46" s="64">
        <v>40</v>
      </c>
      <c r="AL46" s="64">
        <v>1.125</v>
      </c>
      <c r="AM46" s="130">
        <v>175.5</v>
      </c>
      <c r="AN46" s="131">
        <v>234</v>
      </c>
      <c r="AO46" s="131">
        <v>175.5</v>
      </c>
      <c r="AP46" s="131">
        <v>234</v>
      </c>
      <c r="AQ46" s="143"/>
      <c r="AR46" s="143"/>
      <c r="AS46" s="157" t="s">
        <v>128</v>
      </c>
      <c r="AT46" s="154">
        <v>44</v>
      </c>
      <c r="AU46" s="154">
        <v>0.875</v>
      </c>
      <c r="AV46" s="153">
        <v>268</v>
      </c>
      <c r="AW46" s="153">
        <v>320</v>
      </c>
      <c r="AX46" s="153">
        <v>320</v>
      </c>
      <c r="AY46" s="153"/>
      <c r="AZ46" s="153"/>
      <c r="BA46" s="312">
        <v>210.8765951842791</v>
      </c>
      <c r="BB46" s="312">
        <v>320</v>
      </c>
      <c r="BC46" s="153">
        <v>211</v>
      </c>
      <c r="BD46" s="153">
        <v>320</v>
      </c>
      <c r="BF46" s="87" t="s">
        <v>128</v>
      </c>
      <c r="BG46" s="64">
        <v>44</v>
      </c>
      <c r="BH46" s="64">
        <v>0.875</v>
      </c>
      <c r="BI46" s="130">
        <v>80.25</v>
      </c>
      <c r="BJ46" s="131">
        <v>107</v>
      </c>
      <c r="BK46" s="131">
        <v>80.25</v>
      </c>
      <c r="BL46" s="131">
        <v>107</v>
      </c>
    </row>
    <row r="47" spans="1:64" ht="45" customHeight="1" x14ac:dyDescent="0.4">
      <c r="C47" s="233"/>
      <c r="D47" s="234"/>
      <c r="E47" s="396" t="s">
        <v>376</v>
      </c>
      <c r="F47" s="396"/>
      <c r="G47" s="396"/>
      <c r="H47" s="396"/>
      <c r="I47" s="396"/>
      <c r="J47" s="396"/>
      <c r="K47" s="396"/>
      <c r="L47" s="396"/>
      <c r="M47" s="396"/>
      <c r="N47" s="396"/>
      <c r="O47" s="235"/>
      <c r="U47" s="135" t="s">
        <v>129</v>
      </c>
      <c r="V47" s="87" t="s">
        <v>223</v>
      </c>
      <c r="W47" s="85">
        <v>8</v>
      </c>
      <c r="X47" s="85">
        <v>0.75</v>
      </c>
      <c r="Y47" s="131">
        <v>88</v>
      </c>
      <c r="Z47" s="131">
        <v>141</v>
      </c>
      <c r="AA47" s="140">
        <v>94</v>
      </c>
      <c r="AB47" s="139" t="s">
        <v>33</v>
      </c>
      <c r="AC47" s="139" t="s">
        <v>33</v>
      </c>
      <c r="AD47" s="139">
        <v>35.352669813523384</v>
      </c>
      <c r="AE47" s="139">
        <v>176.76334906761693</v>
      </c>
      <c r="AF47" s="137">
        <v>48</v>
      </c>
      <c r="AG47" s="131">
        <v>145</v>
      </c>
      <c r="AH47" s="125"/>
      <c r="AI47" s="134" t="s">
        <v>129</v>
      </c>
      <c r="AJ47" s="87" t="s">
        <v>89</v>
      </c>
      <c r="AK47" s="64">
        <v>4</v>
      </c>
      <c r="AL47" s="64">
        <v>0.5</v>
      </c>
      <c r="AM47" s="130">
        <v>19</v>
      </c>
      <c r="AN47" s="131">
        <v>19</v>
      </c>
      <c r="AO47" s="131">
        <v>27.75</v>
      </c>
      <c r="AP47" s="131">
        <v>37</v>
      </c>
      <c r="AQ47" s="143"/>
      <c r="AR47" s="143"/>
      <c r="AS47" s="157" t="s">
        <v>129</v>
      </c>
      <c r="AT47" s="154">
        <v>40</v>
      </c>
      <c r="AU47" s="154">
        <v>1</v>
      </c>
      <c r="AV47" s="153">
        <v>368</v>
      </c>
      <c r="AW47" s="153">
        <v>490</v>
      </c>
      <c r="AX47" s="153">
        <v>490</v>
      </c>
      <c r="AY47" s="153"/>
      <c r="AZ47" s="153"/>
      <c r="BA47" s="312">
        <v>312.61934538353017</v>
      </c>
      <c r="BB47" s="312">
        <v>490</v>
      </c>
      <c r="BC47" s="153">
        <v>314</v>
      </c>
      <c r="BD47" s="153">
        <v>490</v>
      </c>
      <c r="BF47" s="87" t="s">
        <v>129</v>
      </c>
      <c r="BG47" s="64">
        <v>40</v>
      </c>
      <c r="BH47" s="64">
        <v>1</v>
      </c>
      <c r="BI47" s="130">
        <v>121.5</v>
      </c>
      <c r="BJ47" s="131">
        <v>162</v>
      </c>
      <c r="BK47" s="131">
        <v>121.5</v>
      </c>
      <c r="BL47" s="131">
        <v>162</v>
      </c>
    </row>
    <row r="48" spans="1:64" ht="13.8" thickBot="1" x14ac:dyDescent="0.3">
      <c r="U48" s="135" t="s">
        <v>130</v>
      </c>
      <c r="V48" s="87" t="s">
        <v>98</v>
      </c>
      <c r="W48" s="85">
        <v>12</v>
      </c>
      <c r="X48" s="85">
        <v>0.875</v>
      </c>
      <c r="Y48" s="131">
        <v>188</v>
      </c>
      <c r="Z48" s="131">
        <v>320</v>
      </c>
      <c r="AA48" s="140">
        <v>320</v>
      </c>
      <c r="AB48" s="139">
        <v>235</v>
      </c>
      <c r="AC48" s="139">
        <v>320</v>
      </c>
      <c r="AD48" s="139">
        <v>178</v>
      </c>
      <c r="AE48" s="139">
        <v>320</v>
      </c>
      <c r="AF48" s="137">
        <v>236</v>
      </c>
      <c r="AG48" s="131">
        <v>320</v>
      </c>
      <c r="AH48" s="125"/>
      <c r="AI48" s="134" t="s">
        <v>130</v>
      </c>
      <c r="AJ48" s="87" t="s">
        <v>134</v>
      </c>
      <c r="AK48" s="64">
        <v>44</v>
      </c>
      <c r="AL48" s="64">
        <v>1.125</v>
      </c>
      <c r="AM48" s="130">
        <v>165</v>
      </c>
      <c r="AN48" s="131">
        <v>220</v>
      </c>
      <c r="AO48" s="131">
        <v>165</v>
      </c>
      <c r="AP48" s="131">
        <v>220</v>
      </c>
      <c r="AQ48" s="143"/>
      <c r="AR48" s="143"/>
      <c r="AS48" s="157" t="s">
        <v>130</v>
      </c>
      <c r="AT48" s="154">
        <v>44</v>
      </c>
      <c r="AU48" s="154">
        <v>1</v>
      </c>
      <c r="AV48" s="153">
        <v>385</v>
      </c>
      <c r="AW48" s="153">
        <v>490</v>
      </c>
      <c r="AX48" s="153">
        <v>490</v>
      </c>
      <c r="AY48" s="153"/>
      <c r="AZ48" s="153"/>
      <c r="BA48" s="312">
        <v>353.06867159282399</v>
      </c>
      <c r="BB48" s="312">
        <v>490</v>
      </c>
      <c r="BC48" s="153">
        <v>354</v>
      </c>
      <c r="BD48" s="153">
        <v>490</v>
      </c>
      <c r="BF48" s="87" t="s">
        <v>130</v>
      </c>
      <c r="BG48" s="64">
        <v>44</v>
      </c>
      <c r="BH48" s="64">
        <v>1</v>
      </c>
      <c r="BI48" s="130">
        <v>114.75</v>
      </c>
      <c r="BJ48" s="131">
        <v>153</v>
      </c>
      <c r="BK48" s="131">
        <v>114.75</v>
      </c>
      <c r="BL48" s="131">
        <v>153</v>
      </c>
    </row>
    <row r="49" spans="3:64" ht="18" thickBot="1" x14ac:dyDescent="0.35">
      <c r="J49" s="90" t="s">
        <v>36</v>
      </c>
      <c r="K49" s="397" t="e">
        <f>LOOKUP($H$41,AJ:AJ,AM:AM)</f>
        <v>#N/A</v>
      </c>
      <c r="L49" s="399"/>
      <c r="M49" s="398"/>
      <c r="N49" s="71" t="s">
        <v>16</v>
      </c>
      <c r="U49" s="135" t="s">
        <v>131</v>
      </c>
      <c r="V49" s="87" t="s">
        <v>224</v>
      </c>
      <c r="W49" s="85">
        <v>8</v>
      </c>
      <c r="X49" s="85">
        <v>0.75</v>
      </c>
      <c r="Y49" s="131">
        <v>130</v>
      </c>
      <c r="Z49" s="131">
        <v>200</v>
      </c>
      <c r="AA49" s="140">
        <v>138</v>
      </c>
      <c r="AB49" s="139" t="s">
        <v>33</v>
      </c>
      <c r="AC49" s="139" t="s">
        <v>33</v>
      </c>
      <c r="AD49" s="139">
        <v>56.889353722911196</v>
      </c>
      <c r="AE49" s="139">
        <v>200</v>
      </c>
      <c r="AF49" s="137">
        <v>71</v>
      </c>
      <c r="AG49" s="131">
        <v>200</v>
      </c>
      <c r="AH49" s="125"/>
      <c r="AI49" s="134" t="s">
        <v>131</v>
      </c>
      <c r="AJ49" s="87" t="s">
        <v>135</v>
      </c>
      <c r="AK49" s="64">
        <v>48</v>
      </c>
      <c r="AL49" s="64">
        <v>1.125</v>
      </c>
      <c r="AM49" s="130">
        <v>156</v>
      </c>
      <c r="AN49" s="131">
        <v>208</v>
      </c>
      <c r="AO49" s="131">
        <v>156</v>
      </c>
      <c r="AP49" s="131">
        <v>208</v>
      </c>
      <c r="AQ49" s="143"/>
      <c r="AR49" s="143"/>
      <c r="AS49" s="157" t="s">
        <v>131</v>
      </c>
      <c r="AT49" s="154">
        <v>48</v>
      </c>
      <c r="AU49" s="154">
        <v>1</v>
      </c>
      <c r="AV49" s="153">
        <v>376</v>
      </c>
      <c r="AW49" s="153">
        <v>490</v>
      </c>
      <c r="AX49" s="153">
        <v>490</v>
      </c>
      <c r="AY49" s="153"/>
      <c r="AZ49" s="153"/>
      <c r="BA49" s="312">
        <v>288.02662354669241</v>
      </c>
      <c r="BB49" s="312">
        <v>490</v>
      </c>
      <c r="BC49" s="153">
        <v>289</v>
      </c>
      <c r="BD49" s="153">
        <v>490</v>
      </c>
      <c r="BF49" s="87" t="s">
        <v>131</v>
      </c>
      <c r="BG49" s="64">
        <v>48</v>
      </c>
      <c r="BH49" s="64">
        <v>1</v>
      </c>
      <c r="BI49" s="130">
        <v>109.5</v>
      </c>
      <c r="BJ49" s="131">
        <v>146</v>
      </c>
      <c r="BK49" s="131">
        <v>109.5</v>
      </c>
      <c r="BL49" s="131">
        <v>146</v>
      </c>
    </row>
    <row r="50" spans="3:64" ht="13.8" thickBot="1" x14ac:dyDescent="0.3">
      <c r="U50" s="135" t="s">
        <v>132</v>
      </c>
      <c r="V50" s="87" t="s">
        <v>225</v>
      </c>
      <c r="W50" s="85">
        <v>8</v>
      </c>
      <c r="X50" s="85">
        <v>0.875</v>
      </c>
      <c r="Y50" s="131">
        <v>167</v>
      </c>
      <c r="Z50" s="131">
        <v>267</v>
      </c>
      <c r="AA50" s="140">
        <v>178</v>
      </c>
      <c r="AB50" s="139" t="s">
        <v>33</v>
      </c>
      <c r="AC50" s="139" t="s">
        <v>33</v>
      </c>
      <c r="AD50" s="139" t="s">
        <v>33</v>
      </c>
      <c r="AE50" s="139" t="s">
        <v>33</v>
      </c>
      <c r="AF50" s="137" t="s">
        <v>33</v>
      </c>
      <c r="AG50" s="131" t="s">
        <v>33</v>
      </c>
      <c r="AH50" s="125"/>
      <c r="AI50" s="134" t="s">
        <v>132</v>
      </c>
      <c r="AJ50" s="87" t="s">
        <v>136</v>
      </c>
      <c r="AK50" s="64">
        <v>52</v>
      </c>
      <c r="AL50" s="64">
        <v>1.125</v>
      </c>
      <c r="AM50" s="130">
        <v>148.5</v>
      </c>
      <c r="AN50" s="131">
        <v>198</v>
      </c>
      <c r="AO50" s="131">
        <v>148.5</v>
      </c>
      <c r="AP50" s="131">
        <v>198</v>
      </c>
      <c r="AQ50" s="143"/>
      <c r="AR50" s="143"/>
      <c r="AS50" s="157" t="s">
        <v>132</v>
      </c>
      <c r="AT50" s="154">
        <v>52</v>
      </c>
      <c r="AU50" s="154">
        <v>1</v>
      </c>
      <c r="AV50" s="153">
        <v>369</v>
      </c>
      <c r="AW50" s="153">
        <v>490</v>
      </c>
      <c r="AX50" s="153">
        <v>490</v>
      </c>
      <c r="AY50" s="153"/>
      <c r="AZ50" s="153"/>
      <c r="BA50" s="312">
        <v>327.85243348585493</v>
      </c>
      <c r="BB50" s="312">
        <v>490</v>
      </c>
      <c r="BC50" s="153">
        <v>329</v>
      </c>
      <c r="BD50" s="153">
        <v>490</v>
      </c>
      <c r="BF50" s="87" t="s">
        <v>132</v>
      </c>
      <c r="BG50" s="64">
        <v>52</v>
      </c>
      <c r="BH50" s="64">
        <v>1</v>
      </c>
      <c r="BI50" s="130">
        <v>105.75</v>
      </c>
      <c r="BJ50" s="131">
        <v>141</v>
      </c>
      <c r="BK50" s="131">
        <v>105.75</v>
      </c>
      <c r="BL50" s="131">
        <v>141</v>
      </c>
    </row>
    <row r="51" spans="3:64" ht="18" thickBot="1" x14ac:dyDescent="0.35">
      <c r="J51" s="90" t="s">
        <v>38</v>
      </c>
      <c r="K51" s="397" t="e">
        <f>LOOKUP($H$41,AJ:AJ,AO:AO)</f>
        <v>#N/A</v>
      </c>
      <c r="L51" s="399"/>
      <c r="M51" s="398"/>
      <c r="N51" s="71" t="s">
        <v>16</v>
      </c>
      <c r="U51" s="135" t="s">
        <v>133</v>
      </c>
      <c r="V51" s="87" t="s">
        <v>226</v>
      </c>
      <c r="W51" s="85">
        <v>8</v>
      </c>
      <c r="X51" s="85">
        <v>0.875</v>
      </c>
      <c r="Y51" s="131">
        <v>212</v>
      </c>
      <c r="Z51" s="131">
        <v>320</v>
      </c>
      <c r="AA51" s="140">
        <v>226</v>
      </c>
      <c r="AB51" s="139" t="s">
        <v>33</v>
      </c>
      <c r="AC51" s="139" t="s">
        <v>33</v>
      </c>
      <c r="AD51" s="139">
        <v>97.383983192739976</v>
      </c>
      <c r="AE51" s="139">
        <v>320</v>
      </c>
      <c r="AF51" s="137">
        <v>149</v>
      </c>
      <c r="AG51" s="131">
        <v>320</v>
      </c>
      <c r="AH51" s="125"/>
      <c r="AI51" s="134" t="s">
        <v>133</v>
      </c>
      <c r="AJ51" s="87" t="s">
        <v>137</v>
      </c>
      <c r="AK51" s="64">
        <v>56</v>
      </c>
      <c r="AL51" s="64">
        <v>1.125</v>
      </c>
      <c r="AM51" s="130">
        <v>147</v>
      </c>
      <c r="AN51" s="131">
        <v>196</v>
      </c>
      <c r="AO51" s="131">
        <v>147</v>
      </c>
      <c r="AP51" s="131">
        <v>196</v>
      </c>
      <c r="AQ51" s="143"/>
      <c r="AR51" s="143"/>
      <c r="AS51" s="157" t="s">
        <v>133</v>
      </c>
      <c r="AT51" s="154">
        <v>40</v>
      </c>
      <c r="AU51" s="154">
        <v>1.125</v>
      </c>
      <c r="AV51" s="153">
        <v>576</v>
      </c>
      <c r="AW51" s="153">
        <v>710</v>
      </c>
      <c r="AX51" s="153">
        <v>710</v>
      </c>
      <c r="AY51" s="153"/>
      <c r="AZ51" s="153"/>
      <c r="BA51" s="312">
        <v>509.96696120888419</v>
      </c>
      <c r="BB51" s="312">
        <v>709.99999999999989</v>
      </c>
      <c r="BC51" s="153">
        <v>511</v>
      </c>
      <c r="BD51" s="153">
        <v>710</v>
      </c>
      <c r="BF51" s="87" t="s">
        <v>133</v>
      </c>
      <c r="BG51" s="64">
        <v>40</v>
      </c>
      <c r="BH51" s="64">
        <v>1.125</v>
      </c>
      <c r="BI51" s="130">
        <v>175.5</v>
      </c>
      <c r="BJ51" s="131">
        <v>234</v>
      </c>
      <c r="BK51" s="131">
        <v>175.5</v>
      </c>
      <c r="BL51" s="131">
        <v>234</v>
      </c>
    </row>
    <row r="52" spans="3:64" x14ac:dyDescent="0.25">
      <c r="U52" s="135" t="s">
        <v>134</v>
      </c>
      <c r="V52" s="87" t="s">
        <v>227</v>
      </c>
      <c r="W52" s="85">
        <v>8</v>
      </c>
      <c r="X52" s="85">
        <v>1</v>
      </c>
      <c r="Y52" s="131">
        <v>308</v>
      </c>
      <c r="Z52" s="131">
        <v>490</v>
      </c>
      <c r="AA52" s="140">
        <v>328</v>
      </c>
      <c r="AB52" s="139" t="s">
        <v>33</v>
      </c>
      <c r="AC52" s="139" t="s">
        <v>33</v>
      </c>
      <c r="AD52" s="139">
        <v>142.97725564308641</v>
      </c>
      <c r="AE52" s="139">
        <v>489.99999999999994</v>
      </c>
      <c r="AF52" s="137">
        <v>221</v>
      </c>
      <c r="AG52" s="131">
        <v>490</v>
      </c>
      <c r="AH52" s="125"/>
      <c r="AI52" s="134" t="s">
        <v>134</v>
      </c>
      <c r="AJ52" s="87" t="s">
        <v>138</v>
      </c>
      <c r="AK52" s="64">
        <v>60</v>
      </c>
      <c r="AL52" s="64">
        <v>1.125</v>
      </c>
      <c r="AM52" s="130">
        <v>141.75</v>
      </c>
      <c r="AN52" s="131">
        <v>189</v>
      </c>
      <c r="AO52" s="131">
        <v>141.75</v>
      </c>
      <c r="AP52" s="131">
        <v>189</v>
      </c>
      <c r="AQ52" s="143"/>
      <c r="AR52" s="143"/>
      <c r="AS52" s="157" t="s">
        <v>134</v>
      </c>
      <c r="AT52" s="154">
        <v>44</v>
      </c>
      <c r="AU52" s="154">
        <v>1.125</v>
      </c>
      <c r="AV52" s="153">
        <v>572</v>
      </c>
      <c r="AW52" s="153">
        <v>710</v>
      </c>
      <c r="AX52" s="153">
        <v>710</v>
      </c>
      <c r="AY52" s="153"/>
      <c r="AZ52" s="153"/>
      <c r="BA52" s="312">
        <v>428.68709850462471</v>
      </c>
      <c r="BB52" s="312">
        <v>710.00000000000011</v>
      </c>
      <c r="BC52" s="153">
        <v>429</v>
      </c>
      <c r="BD52" s="153">
        <v>710</v>
      </c>
      <c r="BF52" s="87" t="s">
        <v>134</v>
      </c>
      <c r="BG52" s="64">
        <v>44</v>
      </c>
      <c r="BH52" s="64">
        <v>1.125</v>
      </c>
      <c r="BI52" s="130">
        <v>165</v>
      </c>
      <c r="BJ52" s="131">
        <v>220</v>
      </c>
      <c r="BK52" s="131">
        <v>165</v>
      </c>
      <c r="BL52" s="131">
        <v>220</v>
      </c>
    </row>
    <row r="53" spans="3:64" ht="45" customHeight="1" x14ac:dyDescent="0.4">
      <c r="C53" s="233"/>
      <c r="D53" s="234"/>
      <c r="E53" s="396" t="s">
        <v>408</v>
      </c>
      <c r="F53" s="396"/>
      <c r="G53" s="396"/>
      <c r="H53" s="396"/>
      <c r="I53" s="396"/>
      <c r="J53" s="396"/>
      <c r="K53" s="396"/>
      <c r="L53" s="396"/>
      <c r="M53" s="396"/>
      <c r="N53" s="396"/>
      <c r="O53" s="235"/>
      <c r="U53" s="135" t="s">
        <v>135</v>
      </c>
      <c r="V53" s="87" t="s">
        <v>228</v>
      </c>
      <c r="W53" s="85">
        <v>12</v>
      </c>
      <c r="X53" s="85">
        <v>1</v>
      </c>
      <c r="Y53" s="131">
        <v>259</v>
      </c>
      <c r="Z53" s="131">
        <v>413</v>
      </c>
      <c r="AA53" s="140">
        <v>275</v>
      </c>
      <c r="AB53" s="139" t="s">
        <v>33</v>
      </c>
      <c r="AC53" s="139" t="s">
        <v>33</v>
      </c>
      <c r="AD53" s="139">
        <v>123.04697434295745</v>
      </c>
      <c r="AE53" s="139">
        <v>489.99999999999994</v>
      </c>
      <c r="AF53" s="137">
        <v>202</v>
      </c>
      <c r="AG53" s="131">
        <v>490</v>
      </c>
      <c r="AH53" s="125"/>
      <c r="AI53" s="134" t="s">
        <v>135</v>
      </c>
      <c r="AJ53" s="87" t="s">
        <v>139</v>
      </c>
      <c r="AK53" s="64">
        <v>48</v>
      </c>
      <c r="AL53" s="64">
        <v>1.25</v>
      </c>
      <c r="AM53" s="130">
        <v>236.25</v>
      </c>
      <c r="AN53" s="131">
        <v>315</v>
      </c>
      <c r="AO53" s="131">
        <v>236.25</v>
      </c>
      <c r="AP53" s="131">
        <v>315</v>
      </c>
      <c r="AQ53" s="143"/>
      <c r="AR53" s="143"/>
      <c r="AS53" s="157" t="s">
        <v>135</v>
      </c>
      <c r="AT53" s="154">
        <v>48</v>
      </c>
      <c r="AU53" s="154">
        <v>1.125</v>
      </c>
      <c r="AV53" s="153">
        <v>554</v>
      </c>
      <c r="AW53" s="153">
        <v>710</v>
      </c>
      <c r="AX53" s="153">
        <v>710</v>
      </c>
      <c r="AY53" s="153"/>
      <c r="AZ53" s="153"/>
      <c r="BA53" s="312">
        <v>460.87773226963515</v>
      </c>
      <c r="BB53" s="312">
        <v>709.99999999999989</v>
      </c>
      <c r="BC53" s="153">
        <v>462</v>
      </c>
      <c r="BD53" s="153">
        <v>710</v>
      </c>
      <c r="BF53" s="87" t="s">
        <v>135</v>
      </c>
      <c r="BG53" s="64">
        <v>48</v>
      </c>
      <c r="BH53" s="64">
        <v>1.125</v>
      </c>
      <c r="BI53" s="130">
        <v>156</v>
      </c>
      <c r="BJ53" s="131">
        <v>208</v>
      </c>
      <c r="BK53" s="131">
        <v>156</v>
      </c>
      <c r="BL53" s="131">
        <v>208</v>
      </c>
    </row>
    <row r="54" spans="3:64" ht="13.8" thickBot="1" x14ac:dyDescent="0.3">
      <c r="U54" s="135" t="s">
        <v>136</v>
      </c>
      <c r="V54" s="87" t="s">
        <v>229</v>
      </c>
      <c r="W54" s="85">
        <v>12</v>
      </c>
      <c r="X54" s="85">
        <v>1.125</v>
      </c>
      <c r="Y54" s="131">
        <v>385</v>
      </c>
      <c r="Z54" s="131">
        <v>614</v>
      </c>
      <c r="AA54" s="140">
        <v>409</v>
      </c>
      <c r="AB54" s="139" t="s">
        <v>33</v>
      </c>
      <c r="AC54" s="139" t="s">
        <v>33</v>
      </c>
      <c r="AD54" s="139">
        <v>186.70737589693803</v>
      </c>
      <c r="AE54" s="139">
        <v>710</v>
      </c>
      <c r="AF54" s="137">
        <v>307</v>
      </c>
      <c r="AG54" s="131">
        <v>710</v>
      </c>
      <c r="AH54" s="125"/>
      <c r="AI54" s="134" t="s">
        <v>136</v>
      </c>
      <c r="AJ54" s="87" t="s">
        <v>140</v>
      </c>
      <c r="AK54" s="64">
        <v>52</v>
      </c>
      <c r="AL54" s="64">
        <v>1.25</v>
      </c>
      <c r="AM54" s="130">
        <v>223.5</v>
      </c>
      <c r="AN54" s="131">
        <v>298</v>
      </c>
      <c r="AO54" s="131">
        <v>223.5</v>
      </c>
      <c r="AP54" s="131">
        <v>298</v>
      </c>
      <c r="AQ54" s="143"/>
      <c r="AR54" s="143"/>
      <c r="AS54" s="157" t="s">
        <v>136</v>
      </c>
      <c r="AT54" s="154">
        <v>52</v>
      </c>
      <c r="AU54" s="154">
        <v>1.125</v>
      </c>
      <c r="AV54" s="153">
        <v>538</v>
      </c>
      <c r="AW54" s="153">
        <v>710</v>
      </c>
      <c r="AX54" s="153">
        <v>710</v>
      </c>
      <c r="AY54" s="153"/>
      <c r="AZ54" s="153"/>
      <c r="BA54" s="312">
        <v>441.99725960069327</v>
      </c>
      <c r="BB54" s="312">
        <v>710.00000000000011</v>
      </c>
      <c r="BC54" s="153">
        <v>443</v>
      </c>
      <c r="BD54" s="153">
        <v>710</v>
      </c>
      <c r="BF54" s="87" t="s">
        <v>136</v>
      </c>
      <c r="BG54" s="64">
        <v>52</v>
      </c>
      <c r="BH54" s="64">
        <v>1.125</v>
      </c>
      <c r="BI54" s="130">
        <v>148.5</v>
      </c>
      <c r="BJ54" s="131">
        <v>198</v>
      </c>
      <c r="BK54" s="131">
        <v>148.5</v>
      </c>
      <c r="BL54" s="131">
        <v>198</v>
      </c>
    </row>
    <row r="55" spans="3:64" ht="18" thickBot="1" x14ac:dyDescent="0.35">
      <c r="J55" s="90" t="s">
        <v>36</v>
      </c>
      <c r="K55" s="408" t="e">
        <f>LOOKUP($H$41,AJ:AJ,AN:AN)</f>
        <v>#N/A</v>
      </c>
      <c r="L55" s="409"/>
      <c r="M55" s="410"/>
      <c r="N55" s="71" t="s">
        <v>16</v>
      </c>
      <c r="U55" s="135" t="s">
        <v>137</v>
      </c>
      <c r="V55" s="87" t="s">
        <v>230</v>
      </c>
      <c r="W55" s="85">
        <v>16</v>
      </c>
      <c r="X55" s="85">
        <v>1.25</v>
      </c>
      <c r="Y55" s="131">
        <v>389</v>
      </c>
      <c r="Z55" s="131">
        <v>621</v>
      </c>
      <c r="AA55" s="140">
        <v>414</v>
      </c>
      <c r="AB55" s="139" t="s">
        <v>33</v>
      </c>
      <c r="AC55" s="139" t="s">
        <v>33</v>
      </c>
      <c r="AD55" s="139">
        <v>187.65079649086402</v>
      </c>
      <c r="AE55" s="139">
        <v>938.25398245432007</v>
      </c>
      <c r="AF55" s="137">
        <v>346</v>
      </c>
      <c r="AG55" s="131">
        <v>1000</v>
      </c>
      <c r="AH55" s="125"/>
      <c r="AI55" s="134" t="s">
        <v>137</v>
      </c>
      <c r="AJ55" s="87" t="s">
        <v>292</v>
      </c>
      <c r="AK55" s="64">
        <v>4</v>
      </c>
      <c r="AL55" s="64">
        <v>0.5</v>
      </c>
      <c r="AM55" s="130">
        <v>14</v>
      </c>
      <c r="AN55" s="131">
        <v>14</v>
      </c>
      <c r="AO55" s="131">
        <v>21</v>
      </c>
      <c r="AP55" s="131">
        <v>28</v>
      </c>
      <c r="AQ55" s="143"/>
      <c r="AR55" s="143"/>
      <c r="AS55" s="157" t="s">
        <v>137</v>
      </c>
      <c r="AT55" s="154">
        <v>56</v>
      </c>
      <c r="AU55" s="154">
        <v>1.125</v>
      </c>
      <c r="AV55" s="153">
        <v>526</v>
      </c>
      <c r="AW55" s="153">
        <v>710</v>
      </c>
      <c r="AX55" s="153">
        <v>694</v>
      </c>
      <c r="AY55" s="153"/>
      <c r="AZ55" s="153"/>
      <c r="BA55" s="312">
        <v>377.86016550570793</v>
      </c>
      <c r="BB55" s="312">
        <v>710</v>
      </c>
      <c r="BC55" s="153">
        <v>378</v>
      </c>
      <c r="BD55" s="153">
        <v>710</v>
      </c>
      <c r="BF55" s="87" t="s">
        <v>137</v>
      </c>
      <c r="BG55" s="64">
        <v>56</v>
      </c>
      <c r="BH55" s="64">
        <v>1.125</v>
      </c>
      <c r="BI55" s="130">
        <v>147</v>
      </c>
      <c r="BJ55" s="131">
        <v>196</v>
      </c>
      <c r="BK55" s="131">
        <v>147</v>
      </c>
      <c r="BL55" s="131">
        <v>196</v>
      </c>
    </row>
    <row r="56" spans="3:64" ht="13.8" thickBot="1" x14ac:dyDescent="0.3">
      <c r="U56" s="135" t="s">
        <v>138</v>
      </c>
      <c r="V56" s="87" t="s">
        <v>231</v>
      </c>
      <c r="W56" s="85">
        <v>20</v>
      </c>
      <c r="X56" s="85">
        <v>1.25</v>
      </c>
      <c r="Y56" s="131">
        <v>413</v>
      </c>
      <c r="Z56" s="131">
        <v>659</v>
      </c>
      <c r="AA56" s="140">
        <v>439</v>
      </c>
      <c r="AB56" s="139" t="s">
        <v>33</v>
      </c>
      <c r="AC56" s="139" t="s">
        <v>33</v>
      </c>
      <c r="AD56" s="139">
        <v>150.59100953193808</v>
      </c>
      <c r="AE56" s="139">
        <v>752.95504765969042</v>
      </c>
      <c r="AF56" s="137">
        <v>365</v>
      </c>
      <c r="AG56" s="131">
        <v>1000</v>
      </c>
      <c r="AH56" s="125"/>
      <c r="AI56" s="134" t="s">
        <v>138</v>
      </c>
      <c r="AJ56" s="87" t="s">
        <v>293</v>
      </c>
      <c r="AK56" s="64">
        <v>4</v>
      </c>
      <c r="AL56" s="64">
        <v>0.5</v>
      </c>
      <c r="AM56" s="130">
        <v>16</v>
      </c>
      <c r="AN56" s="131">
        <v>16</v>
      </c>
      <c r="AO56" s="131">
        <v>24</v>
      </c>
      <c r="AP56" s="131">
        <v>32</v>
      </c>
      <c r="AQ56" s="143"/>
      <c r="AR56" s="143"/>
      <c r="AS56" s="157" t="s">
        <v>138</v>
      </c>
      <c r="AT56" s="154">
        <v>60</v>
      </c>
      <c r="AU56" s="154">
        <v>1.125</v>
      </c>
      <c r="AV56" s="153">
        <v>516</v>
      </c>
      <c r="AW56" s="153">
        <v>710</v>
      </c>
      <c r="AX56" s="153">
        <v>671</v>
      </c>
      <c r="AY56" s="153"/>
      <c r="AZ56" s="153"/>
      <c r="BA56" s="312">
        <v>321.32718391878211</v>
      </c>
      <c r="BB56" s="312">
        <v>710</v>
      </c>
      <c r="BC56" s="153">
        <v>318</v>
      </c>
      <c r="BD56" s="153">
        <v>710</v>
      </c>
      <c r="BF56" s="87" t="s">
        <v>138</v>
      </c>
      <c r="BG56" s="64">
        <v>60</v>
      </c>
      <c r="BH56" s="64">
        <v>1.125</v>
      </c>
      <c r="BI56" s="130">
        <v>141.75</v>
      </c>
      <c r="BJ56" s="131">
        <v>189</v>
      </c>
      <c r="BK56" s="131">
        <v>141.75</v>
      </c>
      <c r="BL56" s="131">
        <v>189</v>
      </c>
    </row>
    <row r="57" spans="3:64" ht="18" thickBot="1" x14ac:dyDescent="0.35">
      <c r="J57" s="90" t="s">
        <v>38</v>
      </c>
      <c r="K57" s="408" t="e">
        <f>LOOKUP($H$41,AJ:AJ,AP:AP)</f>
        <v>#N/A</v>
      </c>
      <c r="L57" s="409"/>
      <c r="M57" s="410"/>
      <c r="N57" s="71" t="s">
        <v>16</v>
      </c>
      <c r="U57" s="135" t="s">
        <v>139</v>
      </c>
      <c r="V57" s="87" t="s">
        <v>232</v>
      </c>
      <c r="W57" s="85">
        <v>20</v>
      </c>
      <c r="X57" s="85">
        <v>1.375</v>
      </c>
      <c r="Y57" s="131">
        <v>493</v>
      </c>
      <c r="Z57" s="131">
        <v>786</v>
      </c>
      <c r="AA57" s="140">
        <v>524</v>
      </c>
      <c r="AB57" s="139" t="s">
        <v>33</v>
      </c>
      <c r="AC57" s="139" t="s">
        <v>33</v>
      </c>
      <c r="AD57" s="139">
        <v>213.28150125507329</v>
      </c>
      <c r="AE57" s="139">
        <v>1066.4075062753664</v>
      </c>
      <c r="AF57" s="137">
        <v>408</v>
      </c>
      <c r="AG57" s="131">
        <v>1224</v>
      </c>
      <c r="AH57" s="125"/>
      <c r="AI57" s="134" t="s">
        <v>139</v>
      </c>
      <c r="AJ57" s="87" t="s">
        <v>294</v>
      </c>
      <c r="AK57" s="64">
        <v>4</v>
      </c>
      <c r="AL57" s="64">
        <v>0.5</v>
      </c>
      <c r="AM57" s="130">
        <v>19</v>
      </c>
      <c r="AN57" s="131">
        <v>19</v>
      </c>
      <c r="AO57" s="131">
        <v>27.75</v>
      </c>
      <c r="AP57" s="131">
        <v>37</v>
      </c>
      <c r="AQ57" s="143"/>
      <c r="AR57" s="143"/>
      <c r="AS57" s="157" t="s">
        <v>139</v>
      </c>
      <c r="AT57" s="154">
        <v>48</v>
      </c>
      <c r="AU57" s="154">
        <v>1.25</v>
      </c>
      <c r="AV57" s="153">
        <v>747</v>
      </c>
      <c r="AW57" s="153">
        <v>1000</v>
      </c>
      <c r="AX57" s="153">
        <v>959</v>
      </c>
      <c r="AY57" s="153"/>
      <c r="AZ57" s="153"/>
      <c r="BA57" s="312">
        <v>387.74618229055795</v>
      </c>
      <c r="BB57" s="312">
        <v>1000</v>
      </c>
      <c r="BC57" s="153">
        <v>392</v>
      </c>
      <c r="BD57" s="153">
        <v>1000</v>
      </c>
      <c r="BF57" s="87" t="s">
        <v>139</v>
      </c>
      <c r="BG57" s="64">
        <v>48</v>
      </c>
      <c r="BH57" s="64">
        <v>1.25</v>
      </c>
      <c r="BI57" s="130">
        <v>236.25</v>
      </c>
      <c r="BJ57" s="131">
        <v>315</v>
      </c>
      <c r="BK57" s="131">
        <v>236.25</v>
      </c>
      <c r="BL57" s="131">
        <v>315</v>
      </c>
    </row>
    <row r="58" spans="3:64" x14ac:dyDescent="0.25">
      <c r="U58" s="135" t="s">
        <v>140</v>
      </c>
      <c r="V58" s="87" t="s">
        <v>233</v>
      </c>
      <c r="W58" s="85">
        <v>20</v>
      </c>
      <c r="X58" s="85">
        <v>1.5</v>
      </c>
      <c r="Y58" s="131">
        <v>604</v>
      </c>
      <c r="Z58" s="131">
        <v>964</v>
      </c>
      <c r="AA58" s="140">
        <v>643</v>
      </c>
      <c r="AB58" s="139" t="s">
        <v>33</v>
      </c>
      <c r="AC58" s="139" t="s">
        <v>33</v>
      </c>
      <c r="AD58" s="139">
        <v>273.91110324893214</v>
      </c>
      <c r="AE58" s="139">
        <v>1369.5555162446606</v>
      </c>
      <c r="AF58" s="137">
        <v>514</v>
      </c>
      <c r="AG58" s="131">
        <v>1543</v>
      </c>
      <c r="AH58" s="125"/>
      <c r="AI58" s="134" t="s">
        <v>140</v>
      </c>
      <c r="AJ58" s="87" t="s">
        <v>90</v>
      </c>
      <c r="AK58" s="64">
        <v>4</v>
      </c>
      <c r="AL58" s="64">
        <v>0.625</v>
      </c>
      <c r="AM58" s="130">
        <v>33</v>
      </c>
      <c r="AN58" s="131">
        <v>33</v>
      </c>
      <c r="AO58" s="131">
        <v>49.5</v>
      </c>
      <c r="AP58" s="131">
        <v>66</v>
      </c>
      <c r="AQ58" s="143"/>
      <c r="AR58" s="143"/>
      <c r="AS58" s="157" t="s">
        <v>140</v>
      </c>
      <c r="AT58" s="154">
        <v>52</v>
      </c>
      <c r="AU58" s="154">
        <v>1.25</v>
      </c>
      <c r="AV58" s="153">
        <v>763</v>
      </c>
      <c r="AW58" s="153">
        <v>1000</v>
      </c>
      <c r="AX58" s="153">
        <v>1000</v>
      </c>
      <c r="AY58" s="153"/>
      <c r="AZ58" s="153"/>
      <c r="BA58" s="312">
        <v>378.91624463197962</v>
      </c>
      <c r="BB58" s="312">
        <v>1000</v>
      </c>
      <c r="BC58" s="153">
        <v>379</v>
      </c>
      <c r="BD58" s="153">
        <v>1000</v>
      </c>
      <c r="BF58" s="87" t="s">
        <v>140</v>
      </c>
      <c r="BG58" s="64">
        <v>52</v>
      </c>
      <c r="BH58" s="64">
        <v>1.25</v>
      </c>
      <c r="BI58" s="130">
        <v>223.5</v>
      </c>
      <c r="BJ58" s="131">
        <v>298</v>
      </c>
      <c r="BK58" s="131">
        <v>223.5</v>
      </c>
      <c r="BL58" s="131">
        <v>298</v>
      </c>
    </row>
    <row r="59" spans="3:64" hidden="1" x14ac:dyDescent="0.25">
      <c r="U59" s="135" t="s">
        <v>141</v>
      </c>
      <c r="V59" s="87" t="s">
        <v>99</v>
      </c>
      <c r="W59" s="85">
        <v>12</v>
      </c>
      <c r="X59" s="85">
        <v>0.875</v>
      </c>
      <c r="Y59" s="131">
        <v>250</v>
      </c>
      <c r="Z59" s="131">
        <v>320</v>
      </c>
      <c r="AA59" s="140">
        <v>320</v>
      </c>
      <c r="AB59" s="139">
        <v>312</v>
      </c>
      <c r="AC59" s="139">
        <v>320</v>
      </c>
      <c r="AD59" s="139">
        <v>178</v>
      </c>
      <c r="AE59" s="139">
        <v>320</v>
      </c>
      <c r="AF59" s="137">
        <v>320</v>
      </c>
      <c r="AG59" s="131">
        <v>320</v>
      </c>
      <c r="AH59" s="125"/>
      <c r="AI59" s="135" t="s">
        <v>292</v>
      </c>
      <c r="AJ59" s="87" t="s">
        <v>295</v>
      </c>
      <c r="AK59" s="64">
        <v>4</v>
      </c>
      <c r="AL59" s="64">
        <v>0.625</v>
      </c>
      <c r="AM59" s="130">
        <v>33</v>
      </c>
      <c r="AN59" s="131">
        <v>33</v>
      </c>
      <c r="AO59" s="131">
        <v>49.5</v>
      </c>
      <c r="AP59" s="131">
        <v>66</v>
      </c>
      <c r="AQ59" s="143"/>
      <c r="AR59" s="143"/>
      <c r="AS59" s="157" t="s">
        <v>141</v>
      </c>
      <c r="AT59" s="154">
        <v>4</v>
      </c>
      <c r="AU59" s="154">
        <v>0.5</v>
      </c>
      <c r="AV59" s="153">
        <v>12</v>
      </c>
      <c r="AW59" s="153">
        <v>28</v>
      </c>
      <c r="AX59" s="153">
        <v>20</v>
      </c>
      <c r="AY59" s="313">
        <v>11.208753789057868</v>
      </c>
      <c r="AZ59" s="314">
        <v>37.362512630192896</v>
      </c>
      <c r="BA59" s="315">
        <v>8.426916130204404</v>
      </c>
      <c r="BB59" s="316">
        <v>42.134580651022027</v>
      </c>
      <c r="BC59" s="153">
        <v>16</v>
      </c>
      <c r="BD59" s="153">
        <v>47</v>
      </c>
      <c r="BF59" s="87" t="s">
        <v>292</v>
      </c>
      <c r="BG59" s="64">
        <v>4</v>
      </c>
      <c r="BH59" s="64">
        <v>0.5</v>
      </c>
      <c r="BI59" s="130">
        <v>14</v>
      </c>
      <c r="BJ59" s="131">
        <v>14</v>
      </c>
      <c r="BK59" s="131">
        <v>21</v>
      </c>
      <c r="BL59" s="131">
        <v>28</v>
      </c>
    </row>
    <row r="60" spans="3:64" hidden="1" x14ac:dyDescent="0.25">
      <c r="U60" s="135" t="s">
        <v>142</v>
      </c>
      <c r="V60" s="87" t="s">
        <v>234</v>
      </c>
      <c r="W60" s="85">
        <v>20</v>
      </c>
      <c r="X60" s="85">
        <v>1.625</v>
      </c>
      <c r="Y60" s="131">
        <v>942</v>
      </c>
      <c r="Z60" s="131">
        <v>1503</v>
      </c>
      <c r="AA60" s="140">
        <v>1002</v>
      </c>
      <c r="AB60" s="139" t="s">
        <v>33</v>
      </c>
      <c r="AC60" s="139" t="s">
        <v>33</v>
      </c>
      <c r="AD60" s="139">
        <v>408.82779398277887</v>
      </c>
      <c r="AE60" s="139">
        <v>2044.1389699138945</v>
      </c>
      <c r="AF60" s="137">
        <v>757</v>
      </c>
      <c r="AG60" s="131">
        <v>2200</v>
      </c>
      <c r="AH60" s="125"/>
      <c r="AI60" s="135" t="s">
        <v>293</v>
      </c>
      <c r="AJ60" s="87" t="s">
        <v>296</v>
      </c>
      <c r="AK60" s="64">
        <v>4</v>
      </c>
      <c r="AL60" s="64">
        <v>0.625</v>
      </c>
      <c r="AM60" s="130">
        <v>45</v>
      </c>
      <c r="AN60" s="131">
        <v>45</v>
      </c>
      <c r="AO60" s="131">
        <v>67.5</v>
      </c>
      <c r="AP60" s="131">
        <v>90</v>
      </c>
      <c r="AQ60" s="143"/>
      <c r="AR60" s="143"/>
      <c r="AS60" s="157" t="s">
        <v>142</v>
      </c>
      <c r="AT60" s="154">
        <v>4</v>
      </c>
      <c r="AU60" s="154">
        <v>0.625</v>
      </c>
      <c r="AV60" s="153">
        <v>21</v>
      </c>
      <c r="AW60" s="153">
        <v>51</v>
      </c>
      <c r="AX60" s="153">
        <v>34</v>
      </c>
      <c r="AY60" s="313">
        <v>20.20845026860513</v>
      </c>
      <c r="AZ60" s="314">
        <v>67.361500895350432</v>
      </c>
      <c r="BA60" s="315">
        <v>13.583184208141336</v>
      </c>
      <c r="BB60" s="316">
        <v>67.915921040706678</v>
      </c>
      <c r="BC60" s="153">
        <v>28</v>
      </c>
      <c r="BD60" s="153">
        <v>84</v>
      </c>
      <c r="BF60" s="87" t="s">
        <v>293</v>
      </c>
      <c r="BG60" s="64">
        <v>4</v>
      </c>
      <c r="BH60" s="64">
        <v>0.5</v>
      </c>
      <c r="BI60" s="130">
        <v>16</v>
      </c>
      <c r="BJ60" s="131">
        <v>16</v>
      </c>
      <c r="BK60" s="131">
        <v>24</v>
      </c>
      <c r="BL60" s="131">
        <v>32</v>
      </c>
    </row>
    <row r="61" spans="3:64" hidden="1" x14ac:dyDescent="0.25">
      <c r="U61" s="135" t="s">
        <v>143</v>
      </c>
      <c r="V61" s="87" t="s">
        <v>235</v>
      </c>
      <c r="W61" s="85">
        <v>24</v>
      </c>
      <c r="X61" s="85">
        <v>1.625</v>
      </c>
      <c r="Y61" s="131">
        <v>866</v>
      </c>
      <c r="Z61" s="131">
        <v>1381</v>
      </c>
      <c r="AA61" s="140">
        <v>921</v>
      </c>
      <c r="AB61" s="139" t="s">
        <v>33</v>
      </c>
      <c r="AC61" s="139" t="s">
        <v>33</v>
      </c>
      <c r="AD61" s="139">
        <v>374.9730814831567</v>
      </c>
      <c r="AE61" s="139">
        <v>1874.8654074157835</v>
      </c>
      <c r="AF61" s="137">
        <v>695</v>
      </c>
      <c r="AG61" s="131">
        <v>2085</v>
      </c>
      <c r="AH61" s="125"/>
      <c r="AI61" s="135" t="s">
        <v>294</v>
      </c>
      <c r="AJ61" s="87" t="s">
        <v>297</v>
      </c>
      <c r="AK61" s="64">
        <v>4</v>
      </c>
      <c r="AL61" s="64">
        <v>0.625</v>
      </c>
      <c r="AM61" s="130">
        <v>49</v>
      </c>
      <c r="AN61" s="131">
        <v>49</v>
      </c>
      <c r="AO61" s="131">
        <v>72.75</v>
      </c>
      <c r="AP61" s="131">
        <v>97</v>
      </c>
      <c r="AQ61" s="143"/>
      <c r="AR61" s="143"/>
      <c r="AS61" s="157" t="s">
        <v>143</v>
      </c>
      <c r="AT61" s="154">
        <v>4</v>
      </c>
      <c r="AU61" s="154">
        <v>0.625</v>
      </c>
      <c r="AV61" s="153">
        <v>28</v>
      </c>
      <c r="AW61" s="153">
        <v>67</v>
      </c>
      <c r="AX61" s="153">
        <v>45</v>
      </c>
      <c r="AY61" s="313">
        <v>26.640161367080676</v>
      </c>
      <c r="AZ61" s="314">
        <v>88.800537890268913</v>
      </c>
      <c r="BA61" s="315">
        <v>16.820254256037707</v>
      </c>
      <c r="BB61" s="316">
        <v>84.101271280188527</v>
      </c>
      <c r="BC61" s="153">
        <v>38</v>
      </c>
      <c r="BD61" s="153">
        <v>114</v>
      </c>
      <c r="BF61" s="87" t="s">
        <v>294</v>
      </c>
      <c r="BG61" s="64">
        <v>4</v>
      </c>
      <c r="BH61" s="64">
        <v>0.5</v>
      </c>
      <c r="BI61" s="130">
        <v>19</v>
      </c>
      <c r="BJ61" s="131">
        <v>19</v>
      </c>
      <c r="BK61" s="131">
        <v>27.75</v>
      </c>
      <c r="BL61" s="131">
        <v>37</v>
      </c>
    </row>
    <row r="62" spans="3:64" hidden="1" x14ac:dyDescent="0.25">
      <c r="U62" s="135" t="s">
        <v>144</v>
      </c>
      <c r="V62" s="87" t="s">
        <v>236</v>
      </c>
      <c r="W62" s="85">
        <v>24</v>
      </c>
      <c r="X62" s="85">
        <v>1.875</v>
      </c>
      <c r="Y62" s="131">
        <v>1482</v>
      </c>
      <c r="Z62" s="131">
        <v>2365</v>
      </c>
      <c r="AA62" s="140">
        <v>1577</v>
      </c>
      <c r="AB62" s="139" t="s">
        <v>33</v>
      </c>
      <c r="AC62" s="139" t="s">
        <v>33</v>
      </c>
      <c r="AD62" s="139">
        <v>588.02596868949581</v>
      </c>
      <c r="AE62" s="139">
        <v>2940.1298434474788</v>
      </c>
      <c r="AF62" s="137">
        <v>1103</v>
      </c>
      <c r="AG62" s="131">
        <v>3308</v>
      </c>
      <c r="AH62" s="125"/>
      <c r="AI62" s="135" t="s">
        <v>295</v>
      </c>
      <c r="AJ62" s="87" t="s">
        <v>298</v>
      </c>
      <c r="AK62" s="64">
        <v>8</v>
      </c>
      <c r="AL62" s="64">
        <v>0.625</v>
      </c>
      <c r="AM62" s="130">
        <v>30</v>
      </c>
      <c r="AN62" s="131">
        <v>30</v>
      </c>
      <c r="AO62" s="131">
        <v>45</v>
      </c>
      <c r="AP62" s="131">
        <v>60</v>
      </c>
      <c r="AQ62" s="143"/>
      <c r="AR62" s="143"/>
      <c r="AS62" s="157" t="s">
        <v>144</v>
      </c>
      <c r="AT62" s="154">
        <v>4</v>
      </c>
      <c r="AU62" s="154">
        <v>0.625</v>
      </c>
      <c r="AV62" s="153">
        <v>43</v>
      </c>
      <c r="AW62" s="153">
        <v>102</v>
      </c>
      <c r="AX62" s="153">
        <v>68</v>
      </c>
      <c r="AY62" s="313">
        <v>40.759831814495691</v>
      </c>
      <c r="AZ62" s="314">
        <v>119.99999999999999</v>
      </c>
      <c r="BA62" s="315">
        <v>30.072098613995735</v>
      </c>
      <c r="BB62" s="316">
        <v>120</v>
      </c>
      <c r="BC62" s="153">
        <v>41</v>
      </c>
      <c r="BD62" s="153">
        <v>120</v>
      </c>
      <c r="BF62" s="87" t="s">
        <v>295</v>
      </c>
      <c r="BG62" s="64">
        <v>4</v>
      </c>
      <c r="BH62" s="64">
        <v>0.625</v>
      </c>
      <c r="BI62" s="130">
        <v>33</v>
      </c>
      <c r="BJ62" s="131">
        <v>33</v>
      </c>
      <c r="BK62" s="131">
        <v>49.5</v>
      </c>
      <c r="BL62" s="131">
        <v>66</v>
      </c>
    </row>
    <row r="63" spans="3:64" hidden="1" x14ac:dyDescent="0.25">
      <c r="U63" s="135" t="s">
        <v>145</v>
      </c>
      <c r="V63" s="87" t="s">
        <v>237</v>
      </c>
      <c r="W63" s="85">
        <v>4</v>
      </c>
      <c r="X63" s="85">
        <v>0.75</v>
      </c>
      <c r="Y63" s="131">
        <v>24</v>
      </c>
      <c r="Z63" s="131">
        <v>39</v>
      </c>
      <c r="AA63" s="140">
        <v>26</v>
      </c>
      <c r="AB63" s="139" t="s">
        <v>33</v>
      </c>
      <c r="AC63" s="139" t="s">
        <v>33</v>
      </c>
      <c r="AD63" s="139">
        <v>11.719552234059107</v>
      </c>
      <c r="AE63" s="139">
        <v>100</v>
      </c>
      <c r="AF63" s="137">
        <v>22</v>
      </c>
      <c r="AG63" s="131">
        <v>100</v>
      </c>
      <c r="AH63" s="125"/>
      <c r="AI63" s="135" t="s">
        <v>296</v>
      </c>
      <c r="AJ63" s="87" t="s">
        <v>299</v>
      </c>
      <c r="AK63" s="64">
        <v>8</v>
      </c>
      <c r="AL63" s="64">
        <v>0.625</v>
      </c>
      <c r="AM63" s="130">
        <v>33</v>
      </c>
      <c r="AN63" s="131">
        <v>33</v>
      </c>
      <c r="AO63" s="131">
        <v>49.5</v>
      </c>
      <c r="AP63" s="131">
        <v>66</v>
      </c>
      <c r="AQ63" s="143"/>
      <c r="AR63" s="143"/>
      <c r="AS63" s="157" t="s">
        <v>145</v>
      </c>
      <c r="AT63" s="154">
        <v>4</v>
      </c>
      <c r="AU63" s="154">
        <v>0.75</v>
      </c>
      <c r="AV63" s="153">
        <v>64</v>
      </c>
      <c r="AW63" s="153">
        <v>151</v>
      </c>
      <c r="AX63" s="153">
        <v>101</v>
      </c>
      <c r="AY63" s="313">
        <v>60.417143817774239</v>
      </c>
      <c r="AZ63" s="314">
        <v>200</v>
      </c>
      <c r="BA63" s="315">
        <v>42.995751235376289</v>
      </c>
      <c r="BB63" s="316">
        <v>199.99999999999997</v>
      </c>
      <c r="BC63" s="153">
        <v>66</v>
      </c>
      <c r="BD63" s="153">
        <v>198</v>
      </c>
      <c r="BF63" s="87" t="s">
        <v>296</v>
      </c>
      <c r="BG63" s="64">
        <v>4</v>
      </c>
      <c r="BH63" s="64">
        <v>0.625</v>
      </c>
      <c r="BI63" s="130">
        <v>45</v>
      </c>
      <c r="BJ63" s="131">
        <v>45</v>
      </c>
      <c r="BK63" s="131">
        <v>67.5</v>
      </c>
      <c r="BL63" s="131">
        <v>90</v>
      </c>
    </row>
    <row r="64" spans="3:64" hidden="1" x14ac:dyDescent="0.25">
      <c r="U64" s="135" t="s">
        <v>146</v>
      </c>
      <c r="V64" s="87" t="s">
        <v>238</v>
      </c>
      <c r="W64" s="85">
        <v>4</v>
      </c>
      <c r="X64" s="85">
        <v>0.75</v>
      </c>
      <c r="Y64" s="131">
        <v>35</v>
      </c>
      <c r="Z64" s="131">
        <v>56</v>
      </c>
      <c r="AA64" s="140">
        <v>37</v>
      </c>
      <c r="AB64" s="139" t="s">
        <v>33</v>
      </c>
      <c r="AC64" s="139" t="s">
        <v>33</v>
      </c>
      <c r="AD64" s="139">
        <v>15.142401821437915</v>
      </c>
      <c r="AE64" s="139">
        <v>100</v>
      </c>
      <c r="AF64" s="137">
        <v>31</v>
      </c>
      <c r="AG64" s="131">
        <v>100</v>
      </c>
      <c r="AH64" s="125"/>
      <c r="AI64" s="135" t="s">
        <v>297</v>
      </c>
      <c r="AJ64" s="87" t="s">
        <v>300</v>
      </c>
      <c r="AK64" s="64">
        <v>8</v>
      </c>
      <c r="AL64" s="64">
        <v>0.75</v>
      </c>
      <c r="AM64" s="130">
        <v>41</v>
      </c>
      <c r="AN64" s="131">
        <v>41</v>
      </c>
      <c r="AO64" s="131">
        <v>61.5</v>
      </c>
      <c r="AP64" s="131">
        <v>82</v>
      </c>
      <c r="AQ64" s="143"/>
      <c r="AR64" s="143"/>
      <c r="AS64" s="157" t="s">
        <v>146</v>
      </c>
      <c r="AT64" s="154">
        <v>8</v>
      </c>
      <c r="AU64" s="154">
        <v>0.625</v>
      </c>
      <c r="AV64" s="153">
        <v>46</v>
      </c>
      <c r="AW64" s="153">
        <v>108</v>
      </c>
      <c r="AX64" s="153">
        <v>72</v>
      </c>
      <c r="AY64" s="313">
        <v>43.391304472849122</v>
      </c>
      <c r="AZ64" s="314">
        <v>120</v>
      </c>
      <c r="BA64" s="315">
        <v>27.338271467268854</v>
      </c>
      <c r="BB64" s="316">
        <v>120</v>
      </c>
      <c r="BC64" s="153">
        <v>37</v>
      </c>
      <c r="BD64" s="153">
        <v>112</v>
      </c>
      <c r="BF64" s="87" t="s">
        <v>297</v>
      </c>
      <c r="BG64" s="64">
        <v>4</v>
      </c>
      <c r="BH64" s="64">
        <v>0.625</v>
      </c>
      <c r="BI64" s="130">
        <v>49</v>
      </c>
      <c r="BJ64" s="131">
        <v>49</v>
      </c>
      <c r="BK64" s="131">
        <v>72.75</v>
      </c>
      <c r="BL64" s="131">
        <v>97</v>
      </c>
    </row>
    <row r="65" spans="21:64" hidden="1" x14ac:dyDescent="0.25">
      <c r="U65" s="135" t="s">
        <v>147</v>
      </c>
      <c r="V65" s="87" t="s">
        <v>239</v>
      </c>
      <c r="W65" s="85">
        <v>4</v>
      </c>
      <c r="X65" s="85">
        <v>0.875</v>
      </c>
      <c r="Y65" s="131">
        <v>54</v>
      </c>
      <c r="Z65" s="131">
        <v>86</v>
      </c>
      <c r="AA65" s="140">
        <v>57</v>
      </c>
      <c r="AB65" s="139" t="s">
        <v>33</v>
      </c>
      <c r="AC65" s="139" t="s">
        <v>33</v>
      </c>
      <c r="AD65" s="139">
        <v>21.624129576576713</v>
      </c>
      <c r="AE65" s="139">
        <v>160</v>
      </c>
      <c r="AF65" s="137">
        <v>49</v>
      </c>
      <c r="AG65" s="131">
        <v>160</v>
      </c>
      <c r="AH65" s="125"/>
      <c r="AI65" s="135" t="s">
        <v>298</v>
      </c>
      <c r="AJ65" s="87" t="s">
        <v>301</v>
      </c>
      <c r="AK65" s="64">
        <v>8</v>
      </c>
      <c r="AL65" s="64">
        <v>0.75</v>
      </c>
      <c r="AM65" s="130">
        <v>46</v>
      </c>
      <c r="AN65" s="131">
        <v>46</v>
      </c>
      <c r="AO65" s="131">
        <v>69</v>
      </c>
      <c r="AP65" s="131">
        <v>92</v>
      </c>
      <c r="AQ65" s="143"/>
      <c r="AR65" s="143"/>
      <c r="AS65" s="157" t="s">
        <v>147</v>
      </c>
      <c r="AT65" s="154">
        <v>8</v>
      </c>
      <c r="AU65" s="154">
        <v>0.75</v>
      </c>
      <c r="AV65" s="153">
        <v>60</v>
      </c>
      <c r="AW65" s="153">
        <v>141</v>
      </c>
      <c r="AX65" s="153">
        <v>94</v>
      </c>
      <c r="AY65" s="313">
        <v>56.434238893127898</v>
      </c>
      <c r="AZ65" s="314">
        <v>188.11412964375967</v>
      </c>
      <c r="BA65" s="315">
        <v>35.352669813523384</v>
      </c>
      <c r="BB65" s="316">
        <v>176.76334906761693</v>
      </c>
      <c r="BC65" s="153">
        <v>48</v>
      </c>
      <c r="BD65" s="153">
        <v>145</v>
      </c>
      <c r="BF65" s="87" t="s">
        <v>298</v>
      </c>
      <c r="BG65" s="64">
        <v>8</v>
      </c>
      <c r="BH65" s="64">
        <v>0.625</v>
      </c>
      <c r="BI65" s="130">
        <v>30</v>
      </c>
      <c r="BJ65" s="131">
        <v>30</v>
      </c>
      <c r="BK65" s="131">
        <v>45</v>
      </c>
      <c r="BL65" s="131">
        <v>60</v>
      </c>
    </row>
    <row r="66" spans="21:64" hidden="1" x14ac:dyDescent="0.25">
      <c r="U66" s="135" t="s">
        <v>148</v>
      </c>
      <c r="V66" s="87" t="s">
        <v>240</v>
      </c>
      <c r="W66" s="85">
        <v>4</v>
      </c>
      <c r="X66" s="85">
        <v>0.875</v>
      </c>
      <c r="Y66" s="131">
        <v>82</v>
      </c>
      <c r="Z66" s="131">
        <v>131</v>
      </c>
      <c r="AA66" s="140">
        <v>87</v>
      </c>
      <c r="AB66" s="139" t="s">
        <v>33</v>
      </c>
      <c r="AC66" s="139" t="s">
        <v>33</v>
      </c>
      <c r="AD66" s="139">
        <v>38.660709117117825</v>
      </c>
      <c r="AE66" s="139">
        <v>193.30354558558912</v>
      </c>
      <c r="AF66" s="137">
        <v>53</v>
      </c>
      <c r="AG66" s="131">
        <v>160</v>
      </c>
      <c r="AH66" s="125"/>
      <c r="AI66" s="135" t="s">
        <v>299</v>
      </c>
      <c r="AJ66" s="87" t="s">
        <v>302</v>
      </c>
      <c r="AK66" s="64">
        <v>8</v>
      </c>
      <c r="AL66" s="64">
        <v>0.75</v>
      </c>
      <c r="AM66" s="130">
        <v>66</v>
      </c>
      <c r="AN66" s="131">
        <v>66</v>
      </c>
      <c r="AO66" s="131">
        <v>99</v>
      </c>
      <c r="AP66" s="131">
        <v>132</v>
      </c>
      <c r="AQ66" s="143"/>
      <c r="AR66" s="143"/>
      <c r="AS66" s="157" t="s">
        <v>148</v>
      </c>
      <c r="AT66" s="154">
        <v>8</v>
      </c>
      <c r="AU66" s="154">
        <v>0.75</v>
      </c>
      <c r="AV66" s="153">
        <v>88</v>
      </c>
      <c r="AW66" s="153">
        <v>200</v>
      </c>
      <c r="AX66" s="153">
        <v>138</v>
      </c>
      <c r="AY66" s="313">
        <v>82.895915424813452</v>
      </c>
      <c r="AZ66" s="314">
        <v>199.99999999999997</v>
      </c>
      <c r="BA66" s="315">
        <v>56.889353722911196</v>
      </c>
      <c r="BB66" s="316">
        <v>200</v>
      </c>
      <c r="BC66" s="153">
        <v>71</v>
      </c>
      <c r="BD66" s="153">
        <v>200</v>
      </c>
      <c r="BF66" s="87" t="s">
        <v>299</v>
      </c>
      <c r="BG66" s="64">
        <v>8</v>
      </c>
      <c r="BH66" s="64">
        <v>0.625</v>
      </c>
      <c r="BI66" s="130">
        <v>33</v>
      </c>
      <c r="BJ66" s="131">
        <v>33</v>
      </c>
      <c r="BK66" s="131">
        <v>49.5</v>
      </c>
      <c r="BL66" s="131">
        <v>66</v>
      </c>
    </row>
    <row r="67" spans="21:64" hidden="1" x14ac:dyDescent="0.25">
      <c r="U67" s="135" t="s">
        <v>149</v>
      </c>
      <c r="V67" s="87" t="s">
        <v>241</v>
      </c>
      <c r="W67" s="85">
        <v>4</v>
      </c>
      <c r="X67" s="85">
        <v>1</v>
      </c>
      <c r="Y67" s="131">
        <v>127</v>
      </c>
      <c r="Z67" s="131">
        <v>203</v>
      </c>
      <c r="AA67" s="140">
        <v>135</v>
      </c>
      <c r="AB67" s="139" t="s">
        <v>33</v>
      </c>
      <c r="AC67" s="139" t="s">
        <v>33</v>
      </c>
      <c r="AD67" s="139">
        <v>57.736036912985327</v>
      </c>
      <c r="AE67" s="139">
        <v>288.68018456492661</v>
      </c>
      <c r="AF67" s="137">
        <v>89</v>
      </c>
      <c r="AG67" s="131">
        <v>266</v>
      </c>
      <c r="AH67" s="125"/>
      <c r="AI67" s="135" t="s">
        <v>300</v>
      </c>
      <c r="AJ67" s="87" t="s">
        <v>303</v>
      </c>
      <c r="AK67" s="64">
        <v>12</v>
      </c>
      <c r="AL67" s="64">
        <v>0.875</v>
      </c>
      <c r="AM67" s="130">
        <v>64</v>
      </c>
      <c r="AN67" s="131">
        <v>64</v>
      </c>
      <c r="AO67" s="131">
        <v>96</v>
      </c>
      <c r="AP67" s="131">
        <v>128</v>
      </c>
      <c r="AQ67" s="143"/>
      <c r="AR67" s="143"/>
      <c r="AS67" s="157" t="s">
        <v>149</v>
      </c>
      <c r="AT67" s="154">
        <v>8</v>
      </c>
      <c r="AU67" s="154">
        <v>0.75</v>
      </c>
      <c r="AV67" s="153">
        <v>99</v>
      </c>
      <c r="AW67" s="153">
        <v>200</v>
      </c>
      <c r="AX67" s="153">
        <v>154</v>
      </c>
      <c r="AY67" s="155" t="s">
        <v>33</v>
      </c>
      <c r="AZ67" s="155" t="s">
        <v>33</v>
      </c>
      <c r="BA67" s="155" t="s">
        <v>33</v>
      </c>
      <c r="BB67" s="155" t="s">
        <v>33</v>
      </c>
      <c r="BC67" s="153" t="s">
        <v>33</v>
      </c>
      <c r="BD67" s="153" t="s">
        <v>33</v>
      </c>
      <c r="BF67" s="87" t="s">
        <v>300</v>
      </c>
      <c r="BG67" s="64">
        <v>8</v>
      </c>
      <c r="BH67" s="64">
        <v>0.75</v>
      </c>
      <c r="BI67" s="130">
        <v>41</v>
      </c>
      <c r="BJ67" s="131">
        <v>41</v>
      </c>
      <c r="BK67" s="131">
        <v>61.5</v>
      </c>
      <c r="BL67" s="131">
        <v>82</v>
      </c>
    </row>
    <row r="68" spans="21:64" hidden="1" x14ac:dyDescent="0.25">
      <c r="U68" s="135" t="s">
        <v>150</v>
      </c>
      <c r="V68" s="87" t="s">
        <v>242</v>
      </c>
      <c r="W68" s="85">
        <v>8</v>
      </c>
      <c r="X68" s="85">
        <v>0.875</v>
      </c>
      <c r="Y68" s="131">
        <v>87</v>
      </c>
      <c r="Z68" s="131">
        <v>139</v>
      </c>
      <c r="AA68" s="140">
        <v>93</v>
      </c>
      <c r="AB68" s="317" t="s">
        <v>33</v>
      </c>
      <c r="AC68" s="318" t="s">
        <v>33</v>
      </c>
      <c r="AD68" s="319">
        <v>35.146099197379847</v>
      </c>
      <c r="AE68" s="320">
        <v>175.73049598689923</v>
      </c>
      <c r="AF68" s="137">
        <v>48</v>
      </c>
      <c r="AG68" s="131">
        <v>160</v>
      </c>
      <c r="AH68" s="125"/>
      <c r="AI68" s="135" t="s">
        <v>301</v>
      </c>
      <c r="AJ68" s="87" t="s">
        <v>304</v>
      </c>
      <c r="AK68" s="64">
        <v>12</v>
      </c>
      <c r="AL68" s="64">
        <v>0.875</v>
      </c>
      <c r="AM68" s="130">
        <v>93</v>
      </c>
      <c r="AN68" s="131">
        <v>93</v>
      </c>
      <c r="AO68" s="131">
        <v>139.5</v>
      </c>
      <c r="AP68" s="131">
        <v>186</v>
      </c>
      <c r="AQ68" s="143"/>
      <c r="AR68" s="143"/>
      <c r="AS68" s="157" t="s">
        <v>150</v>
      </c>
      <c r="AT68" s="154">
        <v>8</v>
      </c>
      <c r="AU68" s="154">
        <v>0.75</v>
      </c>
      <c r="AV68" s="153">
        <v>125</v>
      </c>
      <c r="AW68" s="153">
        <v>200</v>
      </c>
      <c r="AX68" s="153">
        <v>196</v>
      </c>
      <c r="AY68" s="313">
        <v>117.45928609068415</v>
      </c>
      <c r="AZ68" s="314">
        <v>200</v>
      </c>
      <c r="BA68" s="315">
        <v>84.445134432446309</v>
      </c>
      <c r="BB68" s="316">
        <v>200</v>
      </c>
      <c r="BC68" s="153">
        <v>103</v>
      </c>
      <c r="BD68" s="153">
        <v>200</v>
      </c>
      <c r="BF68" s="87" t="s">
        <v>301</v>
      </c>
      <c r="BG68" s="64">
        <v>8</v>
      </c>
      <c r="BH68" s="64">
        <v>0.75</v>
      </c>
      <c r="BI68" s="130">
        <v>46</v>
      </c>
      <c r="BJ68" s="131">
        <v>46</v>
      </c>
      <c r="BK68" s="131">
        <v>69</v>
      </c>
      <c r="BL68" s="131">
        <v>92</v>
      </c>
    </row>
    <row r="69" spans="21:64" hidden="1" x14ac:dyDescent="0.25">
      <c r="U69" s="135" t="s">
        <v>151</v>
      </c>
      <c r="V69" s="87" t="s">
        <v>243</v>
      </c>
      <c r="W69" s="85">
        <v>8</v>
      </c>
      <c r="X69" s="85">
        <v>1</v>
      </c>
      <c r="Y69" s="131">
        <v>119</v>
      </c>
      <c r="Z69" s="131">
        <v>189</v>
      </c>
      <c r="AA69" s="140">
        <v>126</v>
      </c>
      <c r="AB69" s="317" t="s">
        <v>33</v>
      </c>
      <c r="AC69" s="318" t="s">
        <v>33</v>
      </c>
      <c r="AD69" s="319">
        <v>47.472668593513525</v>
      </c>
      <c r="AE69" s="320">
        <v>245</v>
      </c>
      <c r="AF69" s="137">
        <v>65</v>
      </c>
      <c r="AG69" s="131">
        <v>245</v>
      </c>
      <c r="AH69" s="125"/>
      <c r="AI69" s="135" t="s">
        <v>302</v>
      </c>
      <c r="AJ69" s="87" t="s">
        <v>91</v>
      </c>
      <c r="AK69" s="64">
        <v>4</v>
      </c>
      <c r="AL69" s="64">
        <v>0.625</v>
      </c>
      <c r="AM69" s="130">
        <v>45</v>
      </c>
      <c r="AN69" s="131">
        <v>45</v>
      </c>
      <c r="AO69" s="131">
        <v>67.5</v>
      </c>
      <c r="AP69" s="131">
        <v>90</v>
      </c>
      <c r="AQ69" s="143"/>
      <c r="AR69" s="143"/>
      <c r="AS69" s="157" t="s">
        <v>151</v>
      </c>
      <c r="AT69" s="154">
        <v>8</v>
      </c>
      <c r="AU69" s="154">
        <v>0.75</v>
      </c>
      <c r="AV69" s="153">
        <v>156</v>
      </c>
      <c r="AW69" s="153">
        <v>200</v>
      </c>
      <c r="AX69" s="153">
        <v>200</v>
      </c>
      <c r="AY69" s="313">
        <v>146.43319648277344</v>
      </c>
      <c r="AZ69" s="314">
        <v>200</v>
      </c>
      <c r="BA69" s="315">
        <v>106.47448014507448</v>
      </c>
      <c r="BB69" s="316">
        <v>200</v>
      </c>
      <c r="BC69" s="153">
        <v>124</v>
      </c>
      <c r="BD69" s="153">
        <v>200</v>
      </c>
      <c r="BF69" s="87" t="s">
        <v>302</v>
      </c>
      <c r="BG69" s="64">
        <v>8</v>
      </c>
      <c r="BH69" s="64">
        <v>0.75</v>
      </c>
      <c r="BI69" s="130">
        <v>66</v>
      </c>
      <c r="BJ69" s="131">
        <v>66</v>
      </c>
      <c r="BK69" s="131">
        <v>99</v>
      </c>
      <c r="BL69" s="131">
        <v>132</v>
      </c>
    </row>
    <row r="70" spans="21:64" hidden="1" x14ac:dyDescent="0.25">
      <c r="U70" s="135" t="s">
        <v>152</v>
      </c>
      <c r="V70" s="87" t="s">
        <v>100</v>
      </c>
      <c r="W70" s="85">
        <v>12</v>
      </c>
      <c r="X70" s="85">
        <v>1</v>
      </c>
      <c r="Y70" s="131">
        <v>317</v>
      </c>
      <c r="Z70" s="131">
        <v>490</v>
      </c>
      <c r="AA70" s="140">
        <v>490</v>
      </c>
      <c r="AB70" s="139">
        <v>396</v>
      </c>
      <c r="AC70" s="139">
        <v>490</v>
      </c>
      <c r="AD70" s="139">
        <v>268</v>
      </c>
      <c r="AE70" s="139">
        <v>490</v>
      </c>
      <c r="AF70" s="137">
        <v>408</v>
      </c>
      <c r="AG70" s="131">
        <v>490</v>
      </c>
      <c r="AH70" s="125"/>
      <c r="AI70" s="135" t="s">
        <v>303</v>
      </c>
      <c r="AJ70" s="87" t="s">
        <v>305</v>
      </c>
      <c r="AK70" s="64">
        <v>12</v>
      </c>
      <c r="AL70" s="64">
        <v>1</v>
      </c>
      <c r="AM70" s="130">
        <v>134</v>
      </c>
      <c r="AN70" s="131">
        <v>134</v>
      </c>
      <c r="AO70" s="131">
        <v>201</v>
      </c>
      <c r="AP70" s="131">
        <v>268</v>
      </c>
      <c r="AQ70" s="143"/>
      <c r="AR70" s="143"/>
      <c r="AS70" s="157" t="s">
        <v>152</v>
      </c>
      <c r="AT70" s="154">
        <v>12</v>
      </c>
      <c r="AU70" s="154">
        <v>0.75</v>
      </c>
      <c r="AV70" s="153">
        <v>131</v>
      </c>
      <c r="AW70" s="153">
        <v>200</v>
      </c>
      <c r="AX70" s="153">
        <v>200</v>
      </c>
      <c r="AY70" s="313">
        <v>123.20868671893211</v>
      </c>
      <c r="AZ70" s="314">
        <v>200</v>
      </c>
      <c r="BA70" s="315">
        <v>91.632494746546243</v>
      </c>
      <c r="BB70" s="316">
        <v>200</v>
      </c>
      <c r="BC70" s="153">
        <v>118</v>
      </c>
      <c r="BD70" s="153">
        <v>200</v>
      </c>
      <c r="BF70" s="87" t="s">
        <v>303</v>
      </c>
      <c r="BG70" s="64">
        <v>12</v>
      </c>
      <c r="BH70" s="64">
        <v>0.875</v>
      </c>
      <c r="BI70" s="130">
        <v>64</v>
      </c>
      <c r="BJ70" s="131">
        <v>64</v>
      </c>
      <c r="BK70" s="131">
        <v>96</v>
      </c>
      <c r="BL70" s="131">
        <v>128</v>
      </c>
    </row>
    <row r="71" spans="21:64" hidden="1" x14ac:dyDescent="0.25">
      <c r="U71" s="135" t="s">
        <v>153</v>
      </c>
      <c r="V71" s="87" t="s">
        <v>244</v>
      </c>
      <c r="W71" s="85">
        <v>8</v>
      </c>
      <c r="X71" s="85">
        <v>0.875</v>
      </c>
      <c r="Y71" s="131">
        <v>150</v>
      </c>
      <c r="Z71" s="131">
        <v>239</v>
      </c>
      <c r="AA71" s="140">
        <v>159</v>
      </c>
      <c r="AB71" s="317" t="s">
        <v>33</v>
      </c>
      <c r="AC71" s="318" t="s">
        <v>33</v>
      </c>
      <c r="AD71" s="319">
        <v>65.606051835109042</v>
      </c>
      <c r="AE71" s="320">
        <v>328.03025917554521</v>
      </c>
      <c r="AF71" s="137">
        <v>106</v>
      </c>
      <c r="AG71" s="131">
        <v>319</v>
      </c>
      <c r="AH71" s="125"/>
      <c r="AI71" s="135" t="s">
        <v>304</v>
      </c>
      <c r="AJ71" s="87" t="s">
        <v>306</v>
      </c>
      <c r="AK71" s="64">
        <v>16</v>
      </c>
      <c r="AL71" s="64">
        <v>1</v>
      </c>
      <c r="AM71" s="130">
        <v>120</v>
      </c>
      <c r="AN71" s="131">
        <v>120</v>
      </c>
      <c r="AO71" s="131">
        <v>180.75</v>
      </c>
      <c r="AP71" s="131">
        <v>241</v>
      </c>
      <c r="AQ71" s="143"/>
      <c r="AR71" s="143"/>
      <c r="AS71" s="157" t="s">
        <v>153</v>
      </c>
      <c r="AT71" s="154">
        <v>12</v>
      </c>
      <c r="AU71" s="154">
        <v>0.875</v>
      </c>
      <c r="AV71" s="153">
        <v>205</v>
      </c>
      <c r="AW71" s="153">
        <v>320</v>
      </c>
      <c r="AX71" s="153">
        <v>320</v>
      </c>
      <c r="AY71" s="313">
        <v>192.34444758971395</v>
      </c>
      <c r="AZ71" s="314">
        <v>320</v>
      </c>
      <c r="BA71" s="315">
        <v>146.20777266110017</v>
      </c>
      <c r="BB71" s="316">
        <v>320</v>
      </c>
      <c r="BC71" s="153">
        <v>194</v>
      </c>
      <c r="BD71" s="153">
        <v>320</v>
      </c>
      <c r="BF71" s="87" t="s">
        <v>304</v>
      </c>
      <c r="BG71" s="64">
        <v>12</v>
      </c>
      <c r="BH71" s="64">
        <v>0.875</v>
      </c>
      <c r="BI71" s="130">
        <v>93</v>
      </c>
      <c r="BJ71" s="131">
        <v>93</v>
      </c>
      <c r="BK71" s="131">
        <v>139.5</v>
      </c>
      <c r="BL71" s="131">
        <v>186</v>
      </c>
    </row>
    <row r="72" spans="21:64" hidden="1" x14ac:dyDescent="0.25">
      <c r="U72" s="135" t="s">
        <v>154</v>
      </c>
      <c r="V72" s="87" t="s">
        <v>245</v>
      </c>
      <c r="W72" s="85">
        <v>8</v>
      </c>
      <c r="X72" s="85">
        <v>1.125</v>
      </c>
      <c r="Y72" s="131">
        <v>271</v>
      </c>
      <c r="Z72" s="131">
        <v>432</v>
      </c>
      <c r="AA72" s="140">
        <v>288</v>
      </c>
      <c r="AB72" s="139" t="s">
        <v>33</v>
      </c>
      <c r="AC72" s="139" t="s">
        <v>33</v>
      </c>
      <c r="AD72" s="139">
        <v>124.35937997943088</v>
      </c>
      <c r="AE72" s="139">
        <v>621.79689989715439</v>
      </c>
      <c r="AF72" s="137">
        <v>191</v>
      </c>
      <c r="AG72" s="131">
        <v>572</v>
      </c>
      <c r="AH72" s="125"/>
      <c r="AI72" s="135" t="s">
        <v>305</v>
      </c>
      <c r="AJ72" s="87" t="s">
        <v>307</v>
      </c>
      <c r="AK72" s="64">
        <v>16</v>
      </c>
      <c r="AL72" s="64">
        <v>1.125</v>
      </c>
      <c r="AM72" s="130">
        <v>132</v>
      </c>
      <c r="AN72" s="131">
        <v>132</v>
      </c>
      <c r="AO72" s="131">
        <v>198</v>
      </c>
      <c r="AP72" s="131">
        <v>264</v>
      </c>
      <c r="AQ72" s="143"/>
      <c r="AR72" s="143"/>
      <c r="AS72" s="157" t="s">
        <v>154</v>
      </c>
      <c r="AT72" s="154">
        <v>16</v>
      </c>
      <c r="AU72" s="154">
        <v>1</v>
      </c>
      <c r="AV72" s="153">
        <v>219</v>
      </c>
      <c r="AW72" s="153">
        <v>490</v>
      </c>
      <c r="AX72" s="153">
        <v>341</v>
      </c>
      <c r="AY72" s="313">
        <v>205.16923438116194</v>
      </c>
      <c r="AZ72" s="314">
        <v>489.99999999999994</v>
      </c>
      <c r="BA72" s="315">
        <v>155.02816528240692</v>
      </c>
      <c r="BB72" s="316">
        <v>490.00000000000006</v>
      </c>
      <c r="BC72" s="153">
        <v>206</v>
      </c>
      <c r="BD72" s="153">
        <v>490</v>
      </c>
      <c r="BF72" s="87" t="s">
        <v>305</v>
      </c>
      <c r="BG72" s="64">
        <v>12</v>
      </c>
      <c r="BH72" s="64">
        <v>1</v>
      </c>
      <c r="BI72" s="130">
        <v>134</v>
      </c>
      <c r="BJ72" s="131">
        <v>134</v>
      </c>
      <c r="BK72" s="131">
        <v>201</v>
      </c>
      <c r="BL72" s="131">
        <v>268</v>
      </c>
    </row>
    <row r="73" spans="21:64" hidden="1" x14ac:dyDescent="0.25">
      <c r="U73" s="135" t="s">
        <v>155</v>
      </c>
      <c r="V73" s="87" t="s">
        <v>246</v>
      </c>
      <c r="W73" s="85">
        <v>8</v>
      </c>
      <c r="X73" s="85">
        <v>1.25</v>
      </c>
      <c r="Y73" s="131">
        <v>373</v>
      </c>
      <c r="Z73" s="131">
        <v>595</v>
      </c>
      <c r="AA73" s="140">
        <v>397</v>
      </c>
      <c r="AB73" s="317" t="s">
        <v>33</v>
      </c>
      <c r="AC73" s="318" t="s">
        <v>33</v>
      </c>
      <c r="AD73" s="319">
        <v>173.06400970835571</v>
      </c>
      <c r="AE73" s="320">
        <v>865.32004854177853</v>
      </c>
      <c r="AF73" s="137">
        <v>268</v>
      </c>
      <c r="AG73" s="131">
        <v>804</v>
      </c>
      <c r="AH73" s="125"/>
      <c r="AI73" s="135" t="s">
        <v>306</v>
      </c>
      <c r="AJ73" s="87" t="s">
        <v>308</v>
      </c>
      <c r="AK73" s="64">
        <v>20</v>
      </c>
      <c r="AL73" s="64">
        <v>1.125</v>
      </c>
      <c r="AM73" s="130">
        <v>124</v>
      </c>
      <c r="AN73" s="131">
        <v>124</v>
      </c>
      <c r="AO73" s="131">
        <v>186.75</v>
      </c>
      <c r="AP73" s="131">
        <v>249</v>
      </c>
      <c r="AQ73" s="143"/>
      <c r="AR73" s="143"/>
      <c r="AS73" s="157" t="s">
        <v>155</v>
      </c>
      <c r="AT73" s="154">
        <v>16</v>
      </c>
      <c r="AU73" s="154">
        <v>1.125</v>
      </c>
      <c r="AV73" s="153">
        <v>319</v>
      </c>
      <c r="AW73" s="153">
        <v>710</v>
      </c>
      <c r="AX73" s="153">
        <v>498</v>
      </c>
      <c r="AY73" s="313">
        <v>298.9113277580787</v>
      </c>
      <c r="AZ73" s="314">
        <v>710</v>
      </c>
      <c r="BA73" s="315">
        <v>170.55000682893379</v>
      </c>
      <c r="BB73" s="316">
        <v>710</v>
      </c>
      <c r="BC73" s="153">
        <v>309</v>
      </c>
      <c r="BD73" s="153">
        <v>710</v>
      </c>
      <c r="BF73" s="87" t="s">
        <v>306</v>
      </c>
      <c r="BG73" s="64">
        <v>16</v>
      </c>
      <c r="BH73" s="64">
        <v>1</v>
      </c>
      <c r="BI73" s="130">
        <v>120</v>
      </c>
      <c r="BJ73" s="131">
        <v>120</v>
      </c>
      <c r="BK73" s="131">
        <v>180.75</v>
      </c>
      <c r="BL73" s="131">
        <v>241</v>
      </c>
    </row>
    <row r="74" spans="21:64" hidden="1" x14ac:dyDescent="0.25">
      <c r="U74" s="135" t="s">
        <v>156</v>
      </c>
      <c r="V74" s="87" t="s">
        <v>247</v>
      </c>
      <c r="W74" s="85">
        <v>12</v>
      </c>
      <c r="X74" s="85">
        <v>1.125</v>
      </c>
      <c r="Y74" s="131">
        <v>284</v>
      </c>
      <c r="Z74" s="131">
        <v>453</v>
      </c>
      <c r="AA74" s="140">
        <v>302</v>
      </c>
      <c r="AB74" s="317" t="s">
        <v>33</v>
      </c>
      <c r="AC74" s="318" t="s">
        <v>33</v>
      </c>
      <c r="AD74" s="319">
        <v>134.94395277166515</v>
      </c>
      <c r="AE74" s="320">
        <v>674.71976385832579</v>
      </c>
      <c r="AF74" s="137">
        <v>221</v>
      </c>
      <c r="AG74" s="131">
        <v>664</v>
      </c>
      <c r="AH74" s="125"/>
      <c r="AI74" s="135" t="s">
        <v>307</v>
      </c>
      <c r="AJ74" s="87" t="s">
        <v>309</v>
      </c>
      <c r="AK74" s="64">
        <v>20</v>
      </c>
      <c r="AL74" s="64">
        <v>1.25</v>
      </c>
      <c r="AM74" s="130">
        <v>173</v>
      </c>
      <c r="AN74" s="131">
        <v>173</v>
      </c>
      <c r="AO74" s="131">
        <v>260.25</v>
      </c>
      <c r="AP74" s="131">
        <v>347</v>
      </c>
      <c r="AQ74" s="143"/>
      <c r="AR74" s="143"/>
      <c r="AS74" s="157" t="s">
        <v>156</v>
      </c>
      <c r="AT74" s="154">
        <v>20</v>
      </c>
      <c r="AU74" s="154">
        <v>1.125</v>
      </c>
      <c r="AV74" s="153">
        <v>287</v>
      </c>
      <c r="AW74" s="153">
        <v>652</v>
      </c>
      <c r="AX74" s="153">
        <v>435</v>
      </c>
      <c r="AY74" s="313">
        <v>260.67222096380198</v>
      </c>
      <c r="AZ74" s="314">
        <v>710</v>
      </c>
      <c r="BA74" s="315">
        <v>176.65390181017986</v>
      </c>
      <c r="BB74" s="316">
        <v>710</v>
      </c>
      <c r="BC74" s="153">
        <v>269</v>
      </c>
      <c r="BD74" s="153">
        <v>710</v>
      </c>
      <c r="BF74" s="87" t="s">
        <v>307</v>
      </c>
      <c r="BG74" s="64">
        <v>16</v>
      </c>
      <c r="BH74" s="64">
        <v>1.125</v>
      </c>
      <c r="BI74" s="130">
        <v>132</v>
      </c>
      <c r="BJ74" s="131">
        <v>132</v>
      </c>
      <c r="BK74" s="131">
        <v>198</v>
      </c>
      <c r="BL74" s="131">
        <v>264</v>
      </c>
    </row>
    <row r="75" spans="21:64" hidden="1" x14ac:dyDescent="0.25">
      <c r="U75" s="135" t="s">
        <v>157</v>
      </c>
      <c r="V75" s="87" t="s">
        <v>248</v>
      </c>
      <c r="W75" s="85">
        <v>12</v>
      </c>
      <c r="X75" s="85">
        <v>1.375</v>
      </c>
      <c r="Y75" s="131">
        <v>464</v>
      </c>
      <c r="Z75" s="131">
        <v>741</v>
      </c>
      <c r="AA75" s="140">
        <v>494</v>
      </c>
      <c r="AB75" s="317" t="s">
        <v>33</v>
      </c>
      <c r="AC75" s="318" t="s">
        <v>33</v>
      </c>
      <c r="AD75" s="319">
        <v>225.41947287121567</v>
      </c>
      <c r="AE75" s="320">
        <v>1127.0973643560783</v>
      </c>
      <c r="AF75" s="137">
        <v>333</v>
      </c>
      <c r="AG75" s="131">
        <v>1000</v>
      </c>
      <c r="AH75" s="125"/>
      <c r="AI75" s="135" t="s">
        <v>308</v>
      </c>
      <c r="AJ75" s="87" t="s">
        <v>310</v>
      </c>
      <c r="AK75" s="64">
        <v>28</v>
      </c>
      <c r="AL75" s="64">
        <v>1.25</v>
      </c>
      <c r="AM75" s="130">
        <v>248.25</v>
      </c>
      <c r="AN75" s="131">
        <v>331</v>
      </c>
      <c r="AO75" s="131">
        <v>248.25</v>
      </c>
      <c r="AP75" s="131">
        <v>331</v>
      </c>
      <c r="AQ75" s="143"/>
      <c r="AR75" s="143"/>
      <c r="AS75" s="157" t="s">
        <v>157</v>
      </c>
      <c r="AT75" s="154">
        <v>20</v>
      </c>
      <c r="AU75" s="154">
        <v>1.25</v>
      </c>
      <c r="AV75" s="153">
        <v>401</v>
      </c>
      <c r="AW75" s="153">
        <v>912</v>
      </c>
      <c r="AX75" s="153">
        <v>608</v>
      </c>
      <c r="AY75" s="313">
        <v>364.58875991942909</v>
      </c>
      <c r="AZ75" s="314">
        <v>1000</v>
      </c>
      <c r="BA75" s="315">
        <v>258.91085849350759</v>
      </c>
      <c r="BB75" s="316">
        <v>1000</v>
      </c>
      <c r="BC75" s="153">
        <v>399</v>
      </c>
      <c r="BD75" s="153">
        <v>1000</v>
      </c>
      <c r="BF75" s="87" t="s">
        <v>308</v>
      </c>
      <c r="BG75" s="64">
        <v>20</v>
      </c>
      <c r="BH75" s="64">
        <v>1.125</v>
      </c>
      <c r="BI75" s="130">
        <v>124</v>
      </c>
      <c r="BJ75" s="131">
        <v>124</v>
      </c>
      <c r="BK75" s="131">
        <v>186.75</v>
      </c>
      <c r="BL75" s="131">
        <v>249</v>
      </c>
    </row>
    <row r="76" spans="21:64" hidden="1" x14ac:dyDescent="0.25">
      <c r="U76" s="135" t="s">
        <v>158</v>
      </c>
      <c r="V76" s="87" t="s">
        <v>249</v>
      </c>
      <c r="W76" s="85">
        <v>16</v>
      </c>
      <c r="X76" s="85">
        <v>1.375</v>
      </c>
      <c r="Y76" s="131">
        <v>425</v>
      </c>
      <c r="Z76" s="131">
        <v>679</v>
      </c>
      <c r="AA76" s="140">
        <v>453</v>
      </c>
      <c r="AB76" s="317" t="s">
        <v>33</v>
      </c>
      <c r="AC76" s="318" t="s">
        <v>33</v>
      </c>
      <c r="AD76" s="319">
        <v>205.26885049213615</v>
      </c>
      <c r="AE76" s="320">
        <v>1026.3442524606808</v>
      </c>
      <c r="AF76" s="137">
        <v>306</v>
      </c>
      <c r="AG76" s="131">
        <v>919</v>
      </c>
      <c r="AH76" s="125"/>
      <c r="AI76" s="135" t="s">
        <v>309</v>
      </c>
      <c r="AJ76" s="87" t="s">
        <v>311</v>
      </c>
      <c r="AK76" s="64">
        <v>32</v>
      </c>
      <c r="AL76" s="64">
        <v>1.5</v>
      </c>
      <c r="AM76" s="130">
        <v>308.25</v>
      </c>
      <c r="AN76" s="131">
        <v>411</v>
      </c>
      <c r="AO76" s="131">
        <v>308.25</v>
      </c>
      <c r="AP76" s="131">
        <v>411</v>
      </c>
      <c r="AQ76" s="143"/>
      <c r="AR76" s="143"/>
      <c r="AS76" s="157" t="s">
        <v>158</v>
      </c>
      <c r="AT76" s="154">
        <v>24</v>
      </c>
      <c r="AU76" s="154">
        <v>1.25</v>
      </c>
      <c r="AV76" s="153">
        <v>439</v>
      </c>
      <c r="AW76" s="153">
        <v>1000</v>
      </c>
      <c r="AX76" s="153">
        <v>1000</v>
      </c>
      <c r="AY76" s="313">
        <v>412.14381556109367</v>
      </c>
      <c r="AZ76" s="314">
        <v>1000</v>
      </c>
      <c r="BA76" s="315">
        <v>280.04643877869188</v>
      </c>
      <c r="BB76" s="316">
        <v>999.99999999999989</v>
      </c>
      <c r="BC76" s="153">
        <v>478</v>
      </c>
      <c r="BD76" s="153">
        <v>1000</v>
      </c>
      <c r="BF76" s="87" t="s">
        <v>309</v>
      </c>
      <c r="BG76" s="64">
        <v>20</v>
      </c>
      <c r="BH76" s="64">
        <v>1.25</v>
      </c>
      <c r="BI76" s="130">
        <v>173</v>
      </c>
      <c r="BJ76" s="131">
        <v>173</v>
      </c>
      <c r="BK76" s="131">
        <v>260.25</v>
      </c>
      <c r="BL76" s="131">
        <v>347</v>
      </c>
    </row>
    <row r="77" spans="21:64" hidden="1" x14ac:dyDescent="0.25">
      <c r="U77" s="135" t="s">
        <v>159</v>
      </c>
      <c r="V77" s="87" t="s">
        <v>250</v>
      </c>
      <c r="W77" s="85">
        <v>20</v>
      </c>
      <c r="X77" s="85">
        <v>1.375</v>
      </c>
      <c r="Y77" s="131">
        <v>452</v>
      </c>
      <c r="Z77" s="131">
        <v>721</v>
      </c>
      <c r="AA77" s="140">
        <v>481</v>
      </c>
      <c r="AB77" s="317" t="s">
        <v>33</v>
      </c>
      <c r="AC77" s="318" t="s">
        <v>33</v>
      </c>
      <c r="AD77" s="319">
        <v>164.72961479050377</v>
      </c>
      <c r="AE77" s="320">
        <v>823.64807395251887</v>
      </c>
      <c r="AF77" s="137">
        <v>368</v>
      </c>
      <c r="AG77" s="131">
        <v>1103</v>
      </c>
      <c r="AH77" s="125"/>
      <c r="AI77" s="135" t="s">
        <v>310</v>
      </c>
      <c r="AJ77" s="87" t="s">
        <v>312</v>
      </c>
      <c r="AK77" s="64">
        <v>36</v>
      </c>
      <c r="AL77" s="64">
        <v>1.5</v>
      </c>
      <c r="AM77" s="130">
        <v>354</v>
      </c>
      <c r="AN77" s="131">
        <v>472</v>
      </c>
      <c r="AO77" s="131">
        <v>354</v>
      </c>
      <c r="AP77" s="131">
        <v>472</v>
      </c>
      <c r="AQ77" s="143"/>
      <c r="AR77" s="143"/>
      <c r="AS77" s="157" t="s">
        <v>159</v>
      </c>
      <c r="AT77" s="154">
        <v>24</v>
      </c>
      <c r="AU77" s="154">
        <v>1.25</v>
      </c>
      <c r="AV77" s="153">
        <v>484</v>
      </c>
      <c r="AW77" s="153">
        <v>1000</v>
      </c>
      <c r="AX77" s="153">
        <v>1000</v>
      </c>
      <c r="AY77" s="313">
        <v>454.41497613146225</v>
      </c>
      <c r="AZ77" s="314">
        <v>1000</v>
      </c>
      <c r="BA77" s="315">
        <v>308.22721249227089</v>
      </c>
      <c r="BB77" s="316">
        <v>1000</v>
      </c>
      <c r="BC77" s="153">
        <v>526</v>
      </c>
      <c r="BD77" s="153">
        <v>1000</v>
      </c>
      <c r="BF77" s="87" t="s">
        <v>310</v>
      </c>
      <c r="BG77" s="64">
        <v>28</v>
      </c>
      <c r="BH77" s="64">
        <v>1.25</v>
      </c>
      <c r="BI77" s="130">
        <v>248.25</v>
      </c>
      <c r="BJ77" s="131">
        <v>331</v>
      </c>
      <c r="BK77" s="131">
        <v>248.25</v>
      </c>
      <c r="BL77" s="131">
        <v>331</v>
      </c>
    </row>
    <row r="78" spans="21:64" hidden="1" x14ac:dyDescent="0.25">
      <c r="U78" s="135" t="s">
        <v>160</v>
      </c>
      <c r="V78" s="87" t="s">
        <v>251</v>
      </c>
      <c r="W78" s="85">
        <v>20</v>
      </c>
      <c r="X78" s="85">
        <v>1.5</v>
      </c>
      <c r="Y78" s="131">
        <v>487</v>
      </c>
      <c r="Z78" s="131">
        <v>761</v>
      </c>
      <c r="AA78" s="140">
        <v>507</v>
      </c>
      <c r="AB78" s="138" t="s">
        <v>33</v>
      </c>
      <c r="AC78" s="138" t="s">
        <v>33</v>
      </c>
      <c r="AD78" s="138">
        <v>206.27183081399176</v>
      </c>
      <c r="AE78" s="138">
        <v>1031.3591540699588</v>
      </c>
      <c r="AF78" s="137">
        <v>388</v>
      </c>
      <c r="AG78" s="131">
        <v>1164</v>
      </c>
      <c r="AH78" s="125"/>
      <c r="AI78" s="135" t="s">
        <v>311</v>
      </c>
      <c r="AJ78" s="87" t="s">
        <v>313</v>
      </c>
      <c r="AK78" s="64">
        <v>44</v>
      </c>
      <c r="AL78" s="64">
        <v>1.5</v>
      </c>
      <c r="AM78" s="130">
        <v>341.25</v>
      </c>
      <c r="AN78" s="131">
        <v>455</v>
      </c>
      <c r="AO78" s="131">
        <v>341.25</v>
      </c>
      <c r="AP78" s="131">
        <v>455</v>
      </c>
      <c r="AQ78" s="143"/>
      <c r="AR78" s="143"/>
      <c r="AS78" s="157" t="s">
        <v>160</v>
      </c>
      <c r="AT78" s="154">
        <v>24</v>
      </c>
      <c r="AU78" s="154">
        <v>1.5</v>
      </c>
      <c r="AV78" s="153">
        <v>662</v>
      </c>
      <c r="AW78" s="153">
        <v>1552</v>
      </c>
      <c r="AX78" s="153">
        <v>1035</v>
      </c>
      <c r="AY78" s="313">
        <v>620.72541680136408</v>
      </c>
      <c r="AZ78" s="314">
        <v>1600</v>
      </c>
      <c r="BA78" s="315">
        <v>385.71155355461872</v>
      </c>
      <c r="BB78" s="316">
        <v>1600.0000000000002</v>
      </c>
      <c r="BC78" s="153">
        <v>723</v>
      </c>
      <c r="BD78" s="153">
        <v>1600</v>
      </c>
      <c r="BF78" s="87" t="s">
        <v>311</v>
      </c>
      <c r="BG78" s="64">
        <v>32</v>
      </c>
      <c r="BH78" s="64">
        <v>1.5</v>
      </c>
      <c r="BI78" s="130">
        <v>308.25</v>
      </c>
      <c r="BJ78" s="131">
        <v>411</v>
      </c>
      <c r="BK78" s="131">
        <v>308.25</v>
      </c>
      <c r="BL78" s="131">
        <v>411</v>
      </c>
    </row>
    <row r="79" spans="21:64" hidden="1" x14ac:dyDescent="0.25">
      <c r="U79" s="135" t="s">
        <v>161</v>
      </c>
      <c r="V79" s="87" t="s">
        <v>252</v>
      </c>
      <c r="W79" s="85">
        <v>20</v>
      </c>
      <c r="X79" s="85">
        <v>1.625</v>
      </c>
      <c r="Y79" s="131">
        <v>709</v>
      </c>
      <c r="Z79" s="131">
        <v>1108</v>
      </c>
      <c r="AA79" s="140">
        <v>739</v>
      </c>
      <c r="AB79" s="317" t="s">
        <v>33</v>
      </c>
      <c r="AC79" s="318" t="s">
        <v>33</v>
      </c>
      <c r="AD79" s="319">
        <v>314.97738844585166</v>
      </c>
      <c r="AE79" s="320">
        <v>1574.8869422292582</v>
      </c>
      <c r="AF79" s="137">
        <v>514</v>
      </c>
      <c r="AG79" s="131">
        <v>1541</v>
      </c>
      <c r="AH79" s="125"/>
      <c r="AI79" s="135" t="s">
        <v>312</v>
      </c>
      <c r="AJ79" s="87" t="s">
        <v>314</v>
      </c>
      <c r="AK79" s="64">
        <v>44</v>
      </c>
      <c r="AL79" s="64">
        <v>1.75</v>
      </c>
      <c r="AM79" s="130">
        <v>526.5</v>
      </c>
      <c r="AN79" s="131">
        <v>702</v>
      </c>
      <c r="AO79" s="131">
        <v>526.5</v>
      </c>
      <c r="AP79" s="131">
        <v>702</v>
      </c>
      <c r="AQ79" s="143"/>
      <c r="AR79" s="143"/>
      <c r="AS79" s="157" t="s">
        <v>161</v>
      </c>
      <c r="AT79" s="154">
        <v>28</v>
      </c>
      <c r="AU79" s="154">
        <v>1.625</v>
      </c>
      <c r="AV79" s="153">
        <v>901</v>
      </c>
      <c r="AW79" s="153">
        <v>1783</v>
      </c>
      <c r="AX79" s="153">
        <v>1189</v>
      </c>
      <c r="AY79" s="153"/>
      <c r="AZ79" s="153"/>
      <c r="BA79" s="153">
        <v>685.66506328348657</v>
      </c>
      <c r="BB79" s="153">
        <v>2200</v>
      </c>
      <c r="BC79" s="153">
        <v>686</v>
      </c>
      <c r="BD79" s="153">
        <v>2057</v>
      </c>
      <c r="BF79" s="87" t="s">
        <v>312</v>
      </c>
      <c r="BG79" s="64">
        <v>36</v>
      </c>
      <c r="BH79" s="64">
        <v>1.5</v>
      </c>
      <c r="BI79" s="130">
        <v>354</v>
      </c>
      <c r="BJ79" s="131">
        <v>472</v>
      </c>
      <c r="BK79" s="131">
        <v>354</v>
      </c>
      <c r="BL79" s="131">
        <v>472</v>
      </c>
    </row>
    <row r="80" spans="21:64" hidden="1" x14ac:dyDescent="0.25">
      <c r="U80" s="135" t="s">
        <v>162</v>
      </c>
      <c r="V80" s="87" t="s">
        <v>253</v>
      </c>
      <c r="W80" s="85">
        <v>20</v>
      </c>
      <c r="X80" s="85">
        <v>1.875</v>
      </c>
      <c r="Y80" s="131">
        <v>1249</v>
      </c>
      <c r="Z80" s="131">
        <v>1993</v>
      </c>
      <c r="AA80" s="140">
        <v>1329</v>
      </c>
      <c r="AB80" s="317" t="s">
        <v>33</v>
      </c>
      <c r="AC80" s="318" t="s">
        <v>33</v>
      </c>
      <c r="AD80" s="319">
        <v>542.00654505292664</v>
      </c>
      <c r="AE80" s="320">
        <v>2710.0327252646334</v>
      </c>
      <c r="AF80" s="137">
        <v>991</v>
      </c>
      <c r="AG80" s="131">
        <v>2972</v>
      </c>
      <c r="AH80" s="125"/>
      <c r="AI80" s="135" t="s">
        <v>313</v>
      </c>
      <c r="AJ80" s="87" t="s">
        <v>92</v>
      </c>
      <c r="AK80" s="64">
        <v>4</v>
      </c>
      <c r="AL80" s="64">
        <v>0.625</v>
      </c>
      <c r="AM80" s="130">
        <v>49</v>
      </c>
      <c r="AN80" s="131">
        <v>49</v>
      </c>
      <c r="AO80" s="131">
        <v>72.75</v>
      </c>
      <c r="AP80" s="131">
        <v>97</v>
      </c>
      <c r="AQ80" s="143"/>
      <c r="AR80" s="143"/>
      <c r="AS80" s="157" t="s">
        <v>162</v>
      </c>
      <c r="AT80" s="154">
        <v>28</v>
      </c>
      <c r="AU80" s="154">
        <v>1.625</v>
      </c>
      <c r="AV80" s="153">
        <v>995</v>
      </c>
      <c r="AW80" s="153">
        <v>1911</v>
      </c>
      <c r="AX80" s="153">
        <v>1274</v>
      </c>
      <c r="AY80" s="153"/>
      <c r="AZ80" s="153"/>
      <c r="BA80" s="153">
        <v>734.64113923230695</v>
      </c>
      <c r="BB80" s="153">
        <v>2199.9999999999995</v>
      </c>
      <c r="BC80" s="153">
        <v>735</v>
      </c>
      <c r="BD80" s="153">
        <v>2200</v>
      </c>
      <c r="BF80" s="87" t="s">
        <v>313</v>
      </c>
      <c r="BG80" s="64">
        <v>44</v>
      </c>
      <c r="BH80" s="64">
        <v>1.5</v>
      </c>
      <c r="BI80" s="130">
        <v>341.25</v>
      </c>
      <c r="BJ80" s="131">
        <v>455</v>
      </c>
      <c r="BK80" s="131">
        <v>341.25</v>
      </c>
      <c r="BL80" s="131">
        <v>455</v>
      </c>
    </row>
    <row r="81" spans="21:64" hidden="1" x14ac:dyDescent="0.25">
      <c r="U81" s="135" t="s">
        <v>163</v>
      </c>
      <c r="V81" s="87" t="s">
        <v>101</v>
      </c>
      <c r="W81" s="85">
        <v>16</v>
      </c>
      <c r="X81" s="85">
        <v>1</v>
      </c>
      <c r="Y81" s="131">
        <v>301</v>
      </c>
      <c r="Z81" s="131">
        <v>490</v>
      </c>
      <c r="AA81" s="140">
        <v>490</v>
      </c>
      <c r="AB81" s="138">
        <v>377</v>
      </c>
      <c r="AC81" s="138">
        <v>490</v>
      </c>
      <c r="AD81" s="321">
        <v>267</v>
      </c>
      <c r="AE81" s="322">
        <v>490</v>
      </c>
      <c r="AF81" s="137">
        <v>421</v>
      </c>
      <c r="AG81" s="131">
        <v>490</v>
      </c>
      <c r="AH81" s="125"/>
      <c r="AI81" s="135" t="s">
        <v>314</v>
      </c>
      <c r="AJ81" s="87" t="s">
        <v>315</v>
      </c>
      <c r="AK81" s="64">
        <v>52</v>
      </c>
      <c r="AL81" s="64">
        <v>1.75</v>
      </c>
      <c r="AM81" s="130">
        <v>522</v>
      </c>
      <c r="AN81" s="131">
        <v>696</v>
      </c>
      <c r="AO81" s="131">
        <v>522</v>
      </c>
      <c r="AP81" s="131">
        <v>696</v>
      </c>
      <c r="AQ81" s="143"/>
      <c r="AR81" s="143"/>
      <c r="AS81" s="157" t="s">
        <v>163</v>
      </c>
      <c r="AT81" s="154">
        <v>28</v>
      </c>
      <c r="AU81" s="154">
        <v>1.75</v>
      </c>
      <c r="AV81" s="153">
        <v>1322</v>
      </c>
      <c r="AW81" s="153">
        <v>2539</v>
      </c>
      <c r="AX81" s="153">
        <v>1693</v>
      </c>
      <c r="AY81" s="153"/>
      <c r="AZ81" s="153"/>
      <c r="BA81" s="153">
        <v>913.74786326001833</v>
      </c>
      <c r="BB81" s="153">
        <v>3000</v>
      </c>
      <c r="BC81" s="153">
        <v>914</v>
      </c>
      <c r="BD81" s="153">
        <v>2741</v>
      </c>
      <c r="BF81" s="87" t="s">
        <v>314</v>
      </c>
      <c r="BG81" s="64">
        <v>44</v>
      </c>
      <c r="BH81" s="64">
        <v>1.75</v>
      </c>
      <c r="BI81" s="130">
        <v>526.5</v>
      </c>
      <c r="BJ81" s="131">
        <v>702</v>
      </c>
      <c r="BK81" s="131">
        <v>526.5</v>
      </c>
      <c r="BL81" s="131">
        <v>702</v>
      </c>
    </row>
    <row r="82" spans="21:64" hidden="1" x14ac:dyDescent="0.25">
      <c r="U82" s="135" t="s">
        <v>164</v>
      </c>
      <c r="V82" s="87" t="s">
        <v>254</v>
      </c>
      <c r="W82" s="85">
        <v>20</v>
      </c>
      <c r="X82" s="85">
        <v>2</v>
      </c>
      <c r="Y82" s="131">
        <v>1316</v>
      </c>
      <c r="Z82" s="131">
        <v>2100</v>
      </c>
      <c r="AA82" s="140">
        <v>1400</v>
      </c>
      <c r="AB82" s="317" t="s">
        <v>33</v>
      </c>
      <c r="AC82" s="318" t="s">
        <v>33</v>
      </c>
      <c r="AD82" s="319">
        <v>570.09482071647358</v>
      </c>
      <c r="AE82" s="320">
        <v>2850.4741035823677</v>
      </c>
      <c r="AF82" s="137">
        <v>934</v>
      </c>
      <c r="AG82" s="131">
        <v>2802</v>
      </c>
      <c r="AH82" s="125"/>
      <c r="AI82" s="135" t="s">
        <v>315</v>
      </c>
      <c r="AJ82" s="129" t="s">
        <v>316</v>
      </c>
      <c r="AK82" s="64">
        <v>60</v>
      </c>
      <c r="AL82" s="64">
        <v>1.75</v>
      </c>
      <c r="AM82" s="130">
        <v>612</v>
      </c>
      <c r="AN82" s="131">
        <v>816</v>
      </c>
      <c r="AO82" s="131">
        <v>612</v>
      </c>
      <c r="AP82" s="131">
        <v>816</v>
      </c>
      <c r="AQ82" s="143"/>
      <c r="AR82" s="143"/>
      <c r="AS82" s="157" t="s">
        <v>164</v>
      </c>
      <c r="AT82" s="154">
        <v>28</v>
      </c>
      <c r="AU82" s="154">
        <v>1.875</v>
      </c>
      <c r="AV82" s="153">
        <v>1724</v>
      </c>
      <c r="AW82" s="153">
        <v>3310</v>
      </c>
      <c r="AX82" s="153">
        <v>2207</v>
      </c>
      <c r="AY82" s="153"/>
      <c r="AZ82" s="153"/>
      <c r="BA82" s="153">
        <v>1120.0494641704681</v>
      </c>
      <c r="BB82" s="153">
        <v>3999.9999999999991</v>
      </c>
      <c r="BC82" s="153">
        <v>1120</v>
      </c>
      <c r="BD82" s="153">
        <v>3360</v>
      </c>
      <c r="BF82" s="87" t="s">
        <v>315</v>
      </c>
      <c r="BG82" s="64">
        <v>52</v>
      </c>
      <c r="BH82" s="64">
        <v>1.75</v>
      </c>
      <c r="BI82" s="130">
        <v>522</v>
      </c>
      <c r="BJ82" s="131">
        <v>696</v>
      </c>
      <c r="BK82" s="131">
        <v>522</v>
      </c>
      <c r="BL82" s="131">
        <v>696</v>
      </c>
    </row>
    <row r="83" spans="21:64" hidden="1" x14ac:dyDescent="0.25">
      <c r="U83" s="135" t="s">
        <v>165</v>
      </c>
      <c r="V83" s="87" t="s">
        <v>255</v>
      </c>
      <c r="W83" s="85">
        <v>20</v>
      </c>
      <c r="X83" s="85">
        <v>2.5</v>
      </c>
      <c r="Y83" s="131">
        <v>2100</v>
      </c>
      <c r="Z83" s="131">
        <v>3351</v>
      </c>
      <c r="AA83" s="140">
        <v>2234</v>
      </c>
      <c r="AB83" s="317" t="s">
        <v>33</v>
      </c>
      <c r="AC83" s="318" t="s">
        <v>33</v>
      </c>
      <c r="AD83" s="319">
        <v>833.3418537073577</v>
      </c>
      <c r="AE83" s="320">
        <v>4400</v>
      </c>
      <c r="AF83" s="137">
        <v>1382</v>
      </c>
      <c r="AG83" s="131">
        <v>4400</v>
      </c>
      <c r="AH83" s="125"/>
      <c r="AI83" s="133" t="s">
        <v>316</v>
      </c>
      <c r="AJ83" s="129" t="s">
        <v>317</v>
      </c>
      <c r="AK83" s="64">
        <v>64</v>
      </c>
      <c r="AL83" s="64">
        <v>2</v>
      </c>
      <c r="AM83" s="130">
        <v>785.25</v>
      </c>
      <c r="AN83" s="131">
        <v>1047</v>
      </c>
      <c r="AO83" s="131">
        <v>785.25</v>
      </c>
      <c r="AP83" s="131">
        <v>1047</v>
      </c>
      <c r="AQ83" s="143"/>
      <c r="AR83" s="143"/>
      <c r="AS83" s="157" t="s">
        <v>165</v>
      </c>
      <c r="AT83" s="154">
        <v>28</v>
      </c>
      <c r="AU83" s="154">
        <v>1.875</v>
      </c>
      <c r="AV83" s="153">
        <v>1872</v>
      </c>
      <c r="AW83" s="153">
        <v>3504</v>
      </c>
      <c r="AX83" s="153">
        <v>2336</v>
      </c>
      <c r="AY83" s="153"/>
      <c r="AZ83" s="153"/>
      <c r="BA83" s="153">
        <v>1184.9798678904951</v>
      </c>
      <c r="BB83" s="153">
        <v>4000</v>
      </c>
      <c r="BC83" s="153">
        <v>1185</v>
      </c>
      <c r="BD83" s="153">
        <v>3555</v>
      </c>
      <c r="BF83" s="129" t="s">
        <v>316</v>
      </c>
      <c r="BG83" s="64">
        <v>60</v>
      </c>
      <c r="BH83" s="64">
        <v>1.75</v>
      </c>
      <c r="BI83" s="130">
        <v>612</v>
      </c>
      <c r="BJ83" s="131">
        <v>816</v>
      </c>
      <c r="BK83" s="131">
        <v>612</v>
      </c>
      <c r="BL83" s="131">
        <v>816</v>
      </c>
    </row>
    <row r="84" spans="21:64" hidden="1" x14ac:dyDescent="0.25">
      <c r="U84" s="135" t="s">
        <v>166</v>
      </c>
      <c r="V84" s="87" t="s">
        <v>256</v>
      </c>
      <c r="W84" s="85">
        <v>4</v>
      </c>
      <c r="X84" s="85">
        <v>0.75</v>
      </c>
      <c r="Y84" s="131" t="s">
        <v>33</v>
      </c>
      <c r="Z84" s="131" t="s">
        <v>33</v>
      </c>
      <c r="AA84" s="140" t="s">
        <v>33</v>
      </c>
      <c r="AB84" s="139" t="s">
        <v>33</v>
      </c>
      <c r="AC84" s="139" t="s">
        <v>33</v>
      </c>
      <c r="AD84" s="139">
        <v>19.532587056765177</v>
      </c>
      <c r="AE84" s="139">
        <v>100</v>
      </c>
      <c r="AF84" s="137">
        <v>22</v>
      </c>
      <c r="AG84" s="131">
        <v>100</v>
      </c>
      <c r="AH84" s="125"/>
      <c r="AI84" s="133" t="s">
        <v>317</v>
      </c>
      <c r="AJ84" s="129" t="s">
        <v>318</v>
      </c>
      <c r="AK84" s="64">
        <v>68</v>
      </c>
      <c r="AL84" s="64">
        <v>2.25</v>
      </c>
      <c r="AM84" s="130">
        <v>1025.25</v>
      </c>
      <c r="AN84" s="131">
        <v>1367</v>
      </c>
      <c r="AO84" s="131">
        <v>1025.25</v>
      </c>
      <c r="AP84" s="131">
        <v>1367</v>
      </c>
      <c r="AQ84" s="143"/>
      <c r="AR84" s="143"/>
      <c r="AS84" s="157" t="s">
        <v>166</v>
      </c>
      <c r="AT84" s="154">
        <v>32</v>
      </c>
      <c r="AU84" s="154">
        <v>2</v>
      </c>
      <c r="AV84" s="153">
        <v>1758</v>
      </c>
      <c r="AW84" s="153">
        <v>3297</v>
      </c>
      <c r="AX84" s="153">
        <v>2198</v>
      </c>
      <c r="AY84" s="153"/>
      <c r="AZ84" s="153"/>
      <c r="BA84" s="153">
        <v>1048.5672595320852</v>
      </c>
      <c r="BB84" s="153">
        <v>4194.269038128341</v>
      </c>
      <c r="BC84" s="153">
        <v>1049</v>
      </c>
      <c r="BD84" s="153">
        <v>3146</v>
      </c>
      <c r="BF84" s="129" t="s">
        <v>317</v>
      </c>
      <c r="BG84" s="64">
        <v>64</v>
      </c>
      <c r="BH84" s="64">
        <v>2</v>
      </c>
      <c r="BI84" s="130">
        <v>785.25</v>
      </c>
      <c r="BJ84" s="131">
        <v>1047</v>
      </c>
      <c r="BK84" s="131">
        <v>785.25</v>
      </c>
      <c r="BL84" s="131">
        <v>1047</v>
      </c>
    </row>
    <row r="85" spans="21:64" hidden="1" x14ac:dyDescent="0.25">
      <c r="U85" s="135" t="s">
        <v>167</v>
      </c>
      <c r="V85" s="87" t="s">
        <v>257</v>
      </c>
      <c r="W85" s="85">
        <v>4</v>
      </c>
      <c r="X85" s="85">
        <v>0.75</v>
      </c>
      <c r="Y85" s="131" t="s">
        <v>33</v>
      </c>
      <c r="Z85" s="131" t="s">
        <v>33</v>
      </c>
      <c r="AA85" s="140" t="s">
        <v>33</v>
      </c>
      <c r="AB85" s="317" t="s">
        <v>33</v>
      </c>
      <c r="AC85" s="318" t="s">
        <v>33</v>
      </c>
      <c r="AD85" s="319">
        <v>25.23733636906319</v>
      </c>
      <c r="AE85" s="320">
        <v>100</v>
      </c>
      <c r="AF85" s="137">
        <v>31</v>
      </c>
      <c r="AG85" s="131">
        <v>100</v>
      </c>
      <c r="AH85" s="125"/>
      <c r="AI85" s="133" t="s">
        <v>318</v>
      </c>
      <c r="AJ85" s="87" t="s">
        <v>93</v>
      </c>
      <c r="AK85" s="64">
        <v>8</v>
      </c>
      <c r="AL85" s="64">
        <v>0.625</v>
      </c>
      <c r="AM85" s="130">
        <v>30</v>
      </c>
      <c r="AN85" s="131">
        <v>30</v>
      </c>
      <c r="AO85" s="131">
        <v>45</v>
      </c>
      <c r="AP85" s="131">
        <v>60</v>
      </c>
      <c r="AQ85" s="143"/>
      <c r="AR85" s="143"/>
      <c r="AS85" s="157" t="s">
        <v>167</v>
      </c>
      <c r="AT85" s="154">
        <v>32</v>
      </c>
      <c r="AU85" s="154">
        <v>1.5</v>
      </c>
      <c r="AV85" s="153">
        <v>976</v>
      </c>
      <c r="AW85" s="153">
        <v>1371</v>
      </c>
      <c r="AX85" s="153">
        <v>976</v>
      </c>
      <c r="AY85" s="153"/>
      <c r="AZ85" s="153"/>
      <c r="BA85" s="153">
        <v>548.52095931227484</v>
      </c>
      <c r="BB85" s="153">
        <v>1600</v>
      </c>
      <c r="BC85" s="153">
        <v>549</v>
      </c>
      <c r="BD85" s="153">
        <v>1600</v>
      </c>
      <c r="BF85" s="129" t="s">
        <v>318</v>
      </c>
      <c r="BG85" s="64">
        <v>68</v>
      </c>
      <c r="BH85" s="64">
        <v>2.25</v>
      </c>
      <c r="BI85" s="130">
        <v>1025.25</v>
      </c>
      <c r="BJ85" s="131">
        <v>1367</v>
      </c>
      <c r="BK85" s="131">
        <v>1025.25</v>
      </c>
      <c r="BL85" s="131">
        <v>1367</v>
      </c>
    </row>
    <row r="86" spans="21:64" hidden="1" x14ac:dyDescent="0.25">
      <c r="U86" s="135" t="s">
        <v>168</v>
      </c>
      <c r="V86" s="87" t="s">
        <v>258</v>
      </c>
      <c r="W86" s="85">
        <v>4</v>
      </c>
      <c r="X86" s="85">
        <v>0.875</v>
      </c>
      <c r="Y86" s="131" t="s">
        <v>33</v>
      </c>
      <c r="Z86" s="131" t="s">
        <v>33</v>
      </c>
      <c r="AA86" s="140" t="s">
        <v>33</v>
      </c>
      <c r="AB86" s="317" t="s">
        <v>33</v>
      </c>
      <c r="AC86" s="318" t="s">
        <v>33</v>
      </c>
      <c r="AD86" s="319">
        <v>36.040215960961191</v>
      </c>
      <c r="AE86" s="320">
        <v>160</v>
      </c>
      <c r="AF86" s="137">
        <v>49</v>
      </c>
      <c r="AG86" s="131">
        <v>160</v>
      </c>
      <c r="AH86" s="125"/>
      <c r="AI86" s="132"/>
      <c r="AJ86" s="89"/>
      <c r="AS86" s="157" t="s">
        <v>168</v>
      </c>
      <c r="AT86" s="154">
        <v>32</v>
      </c>
      <c r="AU86" s="154">
        <v>1.625</v>
      </c>
      <c r="AV86" s="153">
        <v>1270</v>
      </c>
      <c r="AW86" s="153">
        <v>1828</v>
      </c>
      <c r="AX86" s="153">
        <v>1270</v>
      </c>
      <c r="AY86" s="153"/>
      <c r="AZ86" s="153"/>
      <c r="BA86" s="153">
        <v>827.36806037075996</v>
      </c>
      <c r="BB86" s="153">
        <v>2200</v>
      </c>
      <c r="BC86" s="153">
        <v>830</v>
      </c>
      <c r="BD86" s="153">
        <v>2200</v>
      </c>
    </row>
    <row r="87" spans="21:64" hidden="1" x14ac:dyDescent="0.25">
      <c r="U87" s="135" t="s">
        <v>169</v>
      </c>
      <c r="V87" s="87" t="s">
        <v>259</v>
      </c>
      <c r="W87" s="85">
        <v>4</v>
      </c>
      <c r="X87" s="85">
        <v>0.875</v>
      </c>
      <c r="Y87" s="131" t="s">
        <v>33</v>
      </c>
      <c r="Z87" s="131" t="s">
        <v>33</v>
      </c>
      <c r="AA87" s="140" t="s">
        <v>33</v>
      </c>
      <c r="AB87" s="317" t="s">
        <v>33</v>
      </c>
      <c r="AC87" s="318" t="s">
        <v>33</v>
      </c>
      <c r="AD87" s="319">
        <v>64.434515195196383</v>
      </c>
      <c r="AE87" s="320">
        <v>193.30354558558912</v>
      </c>
      <c r="AF87" s="137">
        <v>80</v>
      </c>
      <c r="AG87" s="131">
        <v>240</v>
      </c>
      <c r="AH87" s="125"/>
      <c r="AI87" s="132"/>
      <c r="AJ87" s="89"/>
      <c r="AS87" s="157" t="s">
        <v>169</v>
      </c>
      <c r="AT87" s="154">
        <v>32</v>
      </c>
      <c r="AU87" s="154">
        <v>1.625</v>
      </c>
      <c r="AV87" s="153">
        <v>1369</v>
      </c>
      <c r="AW87" s="153">
        <v>1916</v>
      </c>
      <c r="AX87" s="153">
        <v>1369</v>
      </c>
      <c r="AY87" s="153"/>
      <c r="AZ87" s="153"/>
      <c r="BA87" s="153">
        <v>867.54374767252671</v>
      </c>
      <c r="BB87" s="153">
        <v>2200</v>
      </c>
      <c r="BC87" s="153">
        <v>870</v>
      </c>
      <c r="BD87" s="153">
        <v>2200</v>
      </c>
    </row>
    <row r="88" spans="21:64" hidden="1" x14ac:dyDescent="0.25">
      <c r="U88" s="135" t="s">
        <v>170</v>
      </c>
      <c r="V88" s="87" t="s">
        <v>260</v>
      </c>
      <c r="W88" s="85">
        <v>4</v>
      </c>
      <c r="X88" s="85">
        <v>1</v>
      </c>
      <c r="Y88" s="131" t="s">
        <v>33</v>
      </c>
      <c r="Z88" s="131" t="s">
        <v>33</v>
      </c>
      <c r="AA88" s="140" t="s">
        <v>33</v>
      </c>
      <c r="AB88" s="317" t="s">
        <v>33</v>
      </c>
      <c r="AC88" s="318" t="s">
        <v>33</v>
      </c>
      <c r="AD88" s="319">
        <v>96.226728188308869</v>
      </c>
      <c r="AE88" s="320">
        <v>288.68018456492661</v>
      </c>
      <c r="AF88" s="137">
        <v>118</v>
      </c>
      <c r="AG88" s="131">
        <v>353</v>
      </c>
      <c r="AH88" s="125"/>
      <c r="AI88" s="132"/>
      <c r="AJ88" s="89"/>
      <c r="AS88" s="157" t="s">
        <v>170</v>
      </c>
      <c r="AT88" s="154">
        <v>32</v>
      </c>
      <c r="AU88" s="154">
        <v>1.75</v>
      </c>
      <c r="AV88" s="153">
        <v>1771</v>
      </c>
      <c r="AW88" s="153">
        <v>2537</v>
      </c>
      <c r="AX88" s="153">
        <v>1771</v>
      </c>
      <c r="AY88" s="153"/>
      <c r="AZ88" s="153"/>
      <c r="BA88" s="153">
        <v>1128.0181955361079</v>
      </c>
      <c r="BB88" s="153">
        <v>3000.0000000000005</v>
      </c>
      <c r="BC88" s="153">
        <v>1128</v>
      </c>
      <c r="BD88" s="153">
        <v>3000</v>
      </c>
    </row>
    <row r="89" spans="21:64" hidden="1" x14ac:dyDescent="0.25">
      <c r="U89" s="135" t="s">
        <v>171</v>
      </c>
      <c r="V89" s="87" t="s">
        <v>261</v>
      </c>
      <c r="W89" s="85">
        <v>8</v>
      </c>
      <c r="X89" s="85">
        <v>0.875</v>
      </c>
      <c r="Y89" s="131" t="s">
        <v>33</v>
      </c>
      <c r="Z89" s="131" t="s">
        <v>33</v>
      </c>
      <c r="AA89" s="140" t="s">
        <v>33</v>
      </c>
      <c r="AB89" s="317" t="s">
        <v>33</v>
      </c>
      <c r="AC89" s="318" t="s">
        <v>33</v>
      </c>
      <c r="AD89" s="319">
        <v>58.576831995633079</v>
      </c>
      <c r="AE89" s="320">
        <v>175.73049598689923</v>
      </c>
      <c r="AF89" s="137">
        <v>76</v>
      </c>
      <c r="AG89" s="131">
        <v>227</v>
      </c>
      <c r="AH89" s="125"/>
      <c r="AI89" s="132"/>
      <c r="AJ89" s="89"/>
      <c r="AS89" s="157" t="s">
        <v>171</v>
      </c>
      <c r="AT89" s="154">
        <v>28</v>
      </c>
      <c r="AU89" s="154">
        <v>1.875</v>
      </c>
      <c r="AV89" s="153">
        <v>2483</v>
      </c>
      <c r="AW89" s="153">
        <v>3468</v>
      </c>
      <c r="AX89" s="153">
        <v>2483</v>
      </c>
      <c r="AY89" s="153"/>
      <c r="AZ89" s="153"/>
      <c r="BA89" s="153">
        <v>1538.0389381181428</v>
      </c>
      <c r="BB89" s="153">
        <v>4000</v>
      </c>
      <c r="BC89" s="153">
        <v>1538</v>
      </c>
      <c r="BD89" s="153">
        <v>4000</v>
      </c>
    </row>
    <row r="90" spans="21:64" hidden="1" x14ac:dyDescent="0.25">
      <c r="U90" s="135" t="s">
        <v>172</v>
      </c>
      <c r="V90" s="87" t="s">
        <v>262</v>
      </c>
      <c r="W90" s="85">
        <v>8</v>
      </c>
      <c r="X90" s="85">
        <v>1</v>
      </c>
      <c r="Y90" s="131" t="s">
        <v>33</v>
      </c>
      <c r="Z90" s="131" t="s">
        <v>33</v>
      </c>
      <c r="AA90" s="140" t="s">
        <v>33</v>
      </c>
      <c r="AB90" s="317" t="s">
        <v>33</v>
      </c>
      <c r="AC90" s="318" t="s">
        <v>33</v>
      </c>
      <c r="AD90" s="319">
        <v>79.121114322522544</v>
      </c>
      <c r="AE90" s="320">
        <v>245</v>
      </c>
      <c r="AF90" s="137">
        <v>108</v>
      </c>
      <c r="AG90" s="131">
        <v>325</v>
      </c>
      <c r="AH90" s="125"/>
      <c r="AI90" s="132"/>
      <c r="AJ90" s="89"/>
      <c r="AS90" s="157" t="s">
        <v>172</v>
      </c>
      <c r="AT90" s="154">
        <v>32</v>
      </c>
      <c r="AU90" s="154">
        <v>1.875</v>
      </c>
      <c r="AV90" s="153">
        <v>2407</v>
      </c>
      <c r="AW90" s="153">
        <v>3434</v>
      </c>
      <c r="AX90" s="153">
        <v>2407</v>
      </c>
      <c r="AY90" s="153"/>
      <c r="AZ90" s="153"/>
      <c r="BA90" s="153">
        <v>1409.6999370152766</v>
      </c>
      <c r="BB90" s="153">
        <v>4000</v>
      </c>
      <c r="BC90" s="153">
        <v>1410</v>
      </c>
      <c r="BD90" s="153">
        <v>4000</v>
      </c>
    </row>
    <row r="91" spans="21:64" hidden="1" x14ac:dyDescent="0.25">
      <c r="U91" s="135" t="s">
        <v>173</v>
      </c>
      <c r="V91" s="87" t="s">
        <v>263</v>
      </c>
      <c r="W91" s="85">
        <v>8</v>
      </c>
      <c r="X91" s="85">
        <v>1.125</v>
      </c>
      <c r="Y91" s="131" t="s">
        <v>33</v>
      </c>
      <c r="Z91" s="131" t="s">
        <v>33</v>
      </c>
      <c r="AA91" s="140" t="s">
        <v>33</v>
      </c>
      <c r="AB91" s="317" t="s">
        <v>33</v>
      </c>
      <c r="AC91" s="318" t="s">
        <v>33</v>
      </c>
      <c r="AD91" s="319">
        <v>139.63158453830835</v>
      </c>
      <c r="AE91" s="320">
        <v>418.89475361492504</v>
      </c>
      <c r="AF91" s="137">
        <v>150</v>
      </c>
      <c r="AG91" s="131">
        <v>451</v>
      </c>
      <c r="AH91" s="125"/>
      <c r="AI91" s="132"/>
      <c r="AJ91" s="89"/>
      <c r="AS91" s="157" t="s">
        <v>173</v>
      </c>
      <c r="AT91" s="154">
        <v>32</v>
      </c>
      <c r="AU91" s="154">
        <v>2</v>
      </c>
      <c r="AV91" s="153">
        <v>2919</v>
      </c>
      <c r="AW91" s="153">
        <v>4243</v>
      </c>
      <c r="AX91" s="153">
        <v>2919</v>
      </c>
      <c r="AY91" s="153"/>
      <c r="AZ91" s="153"/>
      <c r="BA91" s="153">
        <v>1411.6633655836488</v>
      </c>
      <c r="BB91" s="153">
        <v>4399.9999999999991</v>
      </c>
      <c r="BC91" s="153">
        <v>1625</v>
      </c>
      <c r="BD91" s="153">
        <v>4400</v>
      </c>
    </row>
    <row r="92" spans="21:64" hidden="1" x14ac:dyDescent="0.25">
      <c r="U92" s="135" t="s">
        <v>174</v>
      </c>
      <c r="V92" s="87" t="s">
        <v>102</v>
      </c>
      <c r="W92" s="85">
        <v>16</v>
      </c>
      <c r="X92" s="85">
        <v>1.125</v>
      </c>
      <c r="Y92" s="131">
        <v>448</v>
      </c>
      <c r="Z92" s="131">
        <v>710</v>
      </c>
      <c r="AA92" s="140">
        <v>710</v>
      </c>
      <c r="AB92" s="138">
        <v>560</v>
      </c>
      <c r="AC92" s="138">
        <v>710</v>
      </c>
      <c r="AD92" s="321">
        <v>381</v>
      </c>
      <c r="AE92" s="322">
        <v>710</v>
      </c>
      <c r="AF92" s="137">
        <v>649</v>
      </c>
      <c r="AG92" s="131">
        <v>710</v>
      </c>
      <c r="AH92" s="125"/>
      <c r="AI92" s="132"/>
      <c r="AJ92" s="88"/>
      <c r="AS92" s="157" t="s">
        <v>174</v>
      </c>
      <c r="AT92" s="154">
        <v>32</v>
      </c>
      <c r="AU92" s="154">
        <v>2</v>
      </c>
      <c r="AV92" s="153">
        <v>3099</v>
      </c>
      <c r="AW92" s="153">
        <v>4407</v>
      </c>
      <c r="AX92" s="153">
        <v>3099</v>
      </c>
      <c r="AY92" s="153"/>
      <c r="AZ92" s="153"/>
      <c r="BA92" s="153">
        <v>1465.958110413789</v>
      </c>
      <c r="BB92" s="153">
        <v>4399.9999999999991</v>
      </c>
      <c r="BC92" s="153">
        <v>1687</v>
      </c>
      <c r="BD92" s="153">
        <v>4398</v>
      </c>
    </row>
    <row r="93" spans="21:64" hidden="1" x14ac:dyDescent="0.25">
      <c r="U93" s="135" t="s">
        <v>175</v>
      </c>
      <c r="V93" s="87" t="s">
        <v>264</v>
      </c>
      <c r="W93" s="85">
        <v>8</v>
      </c>
      <c r="X93" s="85">
        <v>1.25</v>
      </c>
      <c r="Y93" s="131" t="s">
        <v>33</v>
      </c>
      <c r="Z93" s="131" t="s">
        <v>33</v>
      </c>
      <c r="AA93" s="140" t="s">
        <v>33</v>
      </c>
      <c r="AB93" s="139" t="s">
        <v>33</v>
      </c>
      <c r="AC93" s="139" t="s">
        <v>33</v>
      </c>
      <c r="AD93" s="139">
        <v>228.76238427160732</v>
      </c>
      <c r="AE93" s="139">
        <v>686.28715281482198</v>
      </c>
      <c r="AF93" s="137">
        <v>231</v>
      </c>
      <c r="AG93" s="131">
        <v>694</v>
      </c>
      <c r="AH93" s="125"/>
      <c r="AI93" s="132"/>
      <c r="AJ93" s="89"/>
      <c r="AS93" s="157" t="s">
        <v>175</v>
      </c>
      <c r="AT93" s="154">
        <v>28</v>
      </c>
      <c r="AU93" s="154">
        <v>2.25</v>
      </c>
      <c r="AV93" s="153">
        <v>3772</v>
      </c>
      <c r="AW93" s="153">
        <v>5457</v>
      </c>
      <c r="AX93" s="153">
        <v>3772</v>
      </c>
      <c r="AY93" s="153"/>
      <c r="AZ93" s="153"/>
      <c r="BA93" s="153">
        <v>1954.3994613151726</v>
      </c>
      <c r="BB93" s="153">
        <v>6360</v>
      </c>
      <c r="BC93" s="153">
        <v>1954</v>
      </c>
      <c r="BD93" s="153">
        <v>5863</v>
      </c>
    </row>
    <row r="94" spans="21:64" hidden="1" x14ac:dyDescent="0.25">
      <c r="U94" s="135" t="s">
        <v>176</v>
      </c>
      <c r="V94" s="87" t="s">
        <v>265</v>
      </c>
      <c r="W94" s="85">
        <v>8</v>
      </c>
      <c r="X94" s="85">
        <v>1.5</v>
      </c>
      <c r="Y94" s="131" t="s">
        <v>33</v>
      </c>
      <c r="Z94" s="131" t="s">
        <v>33</v>
      </c>
      <c r="AA94" s="140" t="s">
        <v>33</v>
      </c>
      <c r="AB94" s="139" t="s">
        <v>33</v>
      </c>
      <c r="AC94" s="139" t="s">
        <v>33</v>
      </c>
      <c r="AD94" s="139">
        <v>305.15106053440087</v>
      </c>
      <c r="AE94" s="139">
        <v>915.45318160320267</v>
      </c>
      <c r="AF94" s="137">
        <v>323</v>
      </c>
      <c r="AG94" s="131">
        <v>970</v>
      </c>
      <c r="AH94" s="125"/>
      <c r="AI94" s="132"/>
      <c r="AJ94" s="89"/>
      <c r="AS94" s="157" t="s">
        <v>176</v>
      </c>
      <c r="AT94" s="154">
        <v>28</v>
      </c>
      <c r="AU94" s="154">
        <v>2.25</v>
      </c>
      <c r="AV94" s="153">
        <v>3987</v>
      </c>
      <c r="AW94" s="153">
        <v>5653</v>
      </c>
      <c r="AX94" s="153">
        <v>3987</v>
      </c>
      <c r="AY94" s="153"/>
      <c r="AZ94" s="153"/>
      <c r="BA94" s="153">
        <v>2023.8892199397123</v>
      </c>
      <c r="BB94" s="153">
        <v>6360.0000000000009</v>
      </c>
      <c r="BC94" s="153">
        <v>2024</v>
      </c>
      <c r="BD94" s="153">
        <v>6072</v>
      </c>
    </row>
    <row r="95" spans="21:64" hidden="1" x14ac:dyDescent="0.25">
      <c r="U95" s="135" t="s">
        <v>177</v>
      </c>
      <c r="V95" s="87" t="s">
        <v>266</v>
      </c>
      <c r="W95" s="85">
        <v>12</v>
      </c>
      <c r="X95" s="85">
        <v>1.375</v>
      </c>
      <c r="Y95" s="131" t="s">
        <v>33</v>
      </c>
      <c r="Z95" s="131" t="s">
        <v>33</v>
      </c>
      <c r="AA95" s="140" t="s">
        <v>33</v>
      </c>
      <c r="AB95" s="139" t="s">
        <v>33</v>
      </c>
      <c r="AC95" s="139" t="s">
        <v>33</v>
      </c>
      <c r="AD95" s="139">
        <v>271.53894835715346</v>
      </c>
      <c r="AE95" s="139">
        <v>814.61684507146049</v>
      </c>
      <c r="AF95" s="137">
        <v>289</v>
      </c>
      <c r="AG95" s="131">
        <v>867</v>
      </c>
      <c r="AH95" s="125"/>
      <c r="AI95" s="132"/>
      <c r="AJ95" s="89"/>
      <c r="AS95" s="157" t="s">
        <v>177</v>
      </c>
      <c r="AT95" s="154">
        <v>32</v>
      </c>
      <c r="AU95" s="154">
        <v>2.25</v>
      </c>
      <c r="AV95" s="153">
        <v>3795</v>
      </c>
      <c r="AW95" s="153">
        <v>5470</v>
      </c>
      <c r="AX95" s="153">
        <v>3795</v>
      </c>
      <c r="AY95" s="153"/>
      <c r="AZ95" s="153"/>
      <c r="BA95" s="153">
        <v>1839.3070485932794</v>
      </c>
      <c r="BB95" s="153">
        <v>6360</v>
      </c>
      <c r="BC95" s="153">
        <v>1839</v>
      </c>
      <c r="BD95" s="153">
        <v>5518</v>
      </c>
    </row>
    <row r="96" spans="21:64" hidden="1" x14ac:dyDescent="0.25">
      <c r="U96" s="135" t="s">
        <v>178</v>
      </c>
      <c r="V96" s="87" t="s">
        <v>267</v>
      </c>
      <c r="W96" s="85">
        <v>12</v>
      </c>
      <c r="X96" s="85">
        <v>1.625</v>
      </c>
      <c r="Y96" s="131" t="s">
        <v>33</v>
      </c>
      <c r="Z96" s="131" t="s">
        <v>33</v>
      </c>
      <c r="AA96" s="140" t="s">
        <v>33</v>
      </c>
      <c r="AB96" s="139" t="s">
        <v>33</v>
      </c>
      <c r="AC96" s="139" t="s">
        <v>33</v>
      </c>
      <c r="AD96" s="139">
        <v>417.82714793837465</v>
      </c>
      <c r="AE96" s="139">
        <v>1253.4814438151238</v>
      </c>
      <c r="AF96" s="137">
        <v>432</v>
      </c>
      <c r="AG96" s="131">
        <v>1297</v>
      </c>
      <c r="AH96" s="125"/>
      <c r="AI96" s="132"/>
      <c r="AJ96" s="89"/>
      <c r="AS96" s="157" t="s">
        <v>178</v>
      </c>
      <c r="AT96" s="154">
        <v>32</v>
      </c>
      <c r="AU96" s="154">
        <v>2.5</v>
      </c>
      <c r="AV96" s="153">
        <v>4410</v>
      </c>
      <c r="AW96" s="153">
        <v>6237</v>
      </c>
      <c r="AX96" s="153">
        <v>4410</v>
      </c>
      <c r="AY96" s="153"/>
      <c r="AZ96" s="153"/>
      <c r="BA96" s="153">
        <v>1900.1105873897511</v>
      </c>
      <c r="BB96" s="153">
        <v>6360</v>
      </c>
      <c r="BC96" s="153">
        <v>1900</v>
      </c>
      <c r="BD96" s="153">
        <v>5700</v>
      </c>
    </row>
    <row r="97" spans="21:56" hidden="1" x14ac:dyDescent="0.25">
      <c r="U97" s="135" t="s">
        <v>179</v>
      </c>
      <c r="V97" s="87" t="s">
        <v>268</v>
      </c>
      <c r="W97" s="85">
        <v>12</v>
      </c>
      <c r="X97" s="85">
        <v>1.875</v>
      </c>
      <c r="Y97" s="131" t="s">
        <v>33</v>
      </c>
      <c r="Z97" s="131" t="s">
        <v>33</v>
      </c>
      <c r="AA97" s="140" t="s">
        <v>33</v>
      </c>
      <c r="AB97" s="139" t="s">
        <v>33</v>
      </c>
      <c r="AC97" s="139" t="s">
        <v>33</v>
      </c>
      <c r="AD97" s="139">
        <v>672.56014637350575</v>
      </c>
      <c r="AE97" s="139">
        <v>2017.6804391205171</v>
      </c>
      <c r="AF97" s="137">
        <v>754</v>
      </c>
      <c r="AG97" s="131">
        <v>2262</v>
      </c>
      <c r="AH97" s="125"/>
      <c r="AI97" s="132"/>
      <c r="AJ97" s="89"/>
      <c r="AS97" s="157" t="s">
        <v>179</v>
      </c>
      <c r="AT97" s="154">
        <v>32</v>
      </c>
      <c r="AU97" s="154">
        <v>1.25</v>
      </c>
      <c r="AV97" s="153">
        <v>572</v>
      </c>
      <c r="AW97" s="153">
        <v>1000</v>
      </c>
      <c r="AX97" s="153">
        <v>726</v>
      </c>
      <c r="AY97" s="153"/>
      <c r="AZ97" s="153"/>
      <c r="BA97" s="312">
        <v>359.96535173204495</v>
      </c>
      <c r="BB97" s="312">
        <v>1000</v>
      </c>
      <c r="BC97" s="153">
        <v>360</v>
      </c>
      <c r="BD97" s="153">
        <v>1000</v>
      </c>
    </row>
    <row r="98" spans="21:56" hidden="1" x14ac:dyDescent="0.25">
      <c r="U98" s="135" t="s">
        <v>180</v>
      </c>
      <c r="V98" s="87" t="s">
        <v>269</v>
      </c>
      <c r="W98" s="85">
        <v>16</v>
      </c>
      <c r="X98" s="85">
        <v>2</v>
      </c>
      <c r="Y98" s="131" t="s">
        <v>33</v>
      </c>
      <c r="Z98" s="131" t="s">
        <v>33</v>
      </c>
      <c r="AA98" s="140" t="s">
        <v>33</v>
      </c>
      <c r="AB98" s="139" t="s">
        <v>33</v>
      </c>
      <c r="AC98" s="139" t="s">
        <v>33</v>
      </c>
      <c r="AD98" s="139">
        <v>483.56257114343748</v>
      </c>
      <c r="AE98" s="139">
        <v>2200</v>
      </c>
      <c r="AF98" s="137">
        <v>647</v>
      </c>
      <c r="AG98" s="131">
        <v>2200</v>
      </c>
      <c r="AH98" s="125"/>
      <c r="AI98" s="132"/>
      <c r="AJ98" s="89"/>
      <c r="AS98" s="157" t="s">
        <v>180</v>
      </c>
      <c r="AT98" s="154">
        <v>36</v>
      </c>
      <c r="AU98" s="154">
        <v>1.25</v>
      </c>
      <c r="AV98" s="153">
        <v>563</v>
      </c>
      <c r="AW98" s="153">
        <v>1000</v>
      </c>
      <c r="AX98" s="153">
        <v>693</v>
      </c>
      <c r="AY98" s="153"/>
      <c r="AZ98" s="153"/>
      <c r="BA98" s="312">
        <v>343.45317963424469</v>
      </c>
      <c r="BB98" s="312">
        <v>999.99999999999977</v>
      </c>
      <c r="BC98" s="153">
        <v>343</v>
      </c>
      <c r="BD98" s="153">
        <v>1000</v>
      </c>
    </row>
    <row r="99" spans="21:56" hidden="1" x14ac:dyDescent="0.25">
      <c r="U99" s="135" t="s">
        <v>181</v>
      </c>
      <c r="V99" s="87" t="s">
        <v>270</v>
      </c>
      <c r="W99" s="85">
        <v>16</v>
      </c>
      <c r="X99" s="85">
        <v>2.25</v>
      </c>
      <c r="Y99" s="131" t="s">
        <v>33</v>
      </c>
      <c r="Z99" s="131" t="s">
        <v>33</v>
      </c>
      <c r="AA99" s="140" t="s">
        <v>33</v>
      </c>
      <c r="AB99" s="139" t="s">
        <v>33</v>
      </c>
      <c r="AC99" s="139" t="s">
        <v>33</v>
      </c>
      <c r="AD99" s="139">
        <v>701.14080674681816</v>
      </c>
      <c r="AE99" s="139">
        <v>3180</v>
      </c>
      <c r="AF99" s="137">
        <v>684</v>
      </c>
      <c r="AG99" s="131">
        <v>3180</v>
      </c>
      <c r="AH99" s="125"/>
      <c r="AI99" s="132"/>
      <c r="AJ99" s="89"/>
      <c r="AS99" s="157" t="s">
        <v>181</v>
      </c>
      <c r="AT99" s="154">
        <v>36</v>
      </c>
      <c r="AU99" s="154">
        <v>1.375</v>
      </c>
      <c r="AV99" s="153">
        <v>711</v>
      </c>
      <c r="AW99" s="153">
        <v>1320</v>
      </c>
      <c r="AX99" s="153">
        <v>880</v>
      </c>
      <c r="AY99" s="153"/>
      <c r="AZ99" s="153"/>
      <c r="BA99" s="312">
        <v>401.38795026925862</v>
      </c>
      <c r="BB99" s="312">
        <v>1360</v>
      </c>
      <c r="BC99" s="153">
        <v>401</v>
      </c>
      <c r="BD99" s="153">
        <v>1204</v>
      </c>
    </row>
    <row r="100" spans="21:56" hidden="1" x14ac:dyDescent="0.25">
      <c r="U100" s="135" t="s">
        <v>182</v>
      </c>
      <c r="V100" s="87" t="s">
        <v>271</v>
      </c>
      <c r="W100" s="85">
        <v>16</v>
      </c>
      <c r="X100" s="85">
        <v>2.5</v>
      </c>
      <c r="Y100" s="131" t="s">
        <v>33</v>
      </c>
      <c r="Z100" s="131" t="s">
        <v>33</v>
      </c>
      <c r="AA100" s="140" t="s">
        <v>33</v>
      </c>
      <c r="AB100" s="139" t="s">
        <v>33</v>
      </c>
      <c r="AC100" s="139" t="s">
        <v>33</v>
      </c>
      <c r="AD100" s="139">
        <v>1027.4192540172235</v>
      </c>
      <c r="AE100" s="139">
        <v>4400</v>
      </c>
      <c r="AF100" s="137">
        <v>1141</v>
      </c>
      <c r="AG100" s="131">
        <v>4400</v>
      </c>
      <c r="AH100" s="125"/>
      <c r="AI100" s="132"/>
      <c r="AJ100" s="89"/>
      <c r="AS100" s="157" t="s">
        <v>182</v>
      </c>
      <c r="AT100" s="154">
        <v>32</v>
      </c>
      <c r="AU100" s="154">
        <v>1.5</v>
      </c>
      <c r="AV100" s="153">
        <v>886</v>
      </c>
      <c r="AW100" s="153">
        <v>1600</v>
      </c>
      <c r="AX100" s="153">
        <v>1100</v>
      </c>
      <c r="AY100" s="153"/>
      <c r="AZ100" s="153"/>
      <c r="BA100" s="312">
        <v>464.67062158300985</v>
      </c>
      <c r="BB100" s="312">
        <v>1599.9999999999998</v>
      </c>
      <c r="BC100" s="153">
        <v>465</v>
      </c>
      <c r="BD100" s="153">
        <v>1394</v>
      </c>
    </row>
    <row r="101" spans="21:56" hidden="1" x14ac:dyDescent="0.25">
      <c r="U101" s="135" t="s">
        <v>183</v>
      </c>
      <c r="V101" s="87" t="s">
        <v>272</v>
      </c>
      <c r="W101" s="85">
        <v>16</v>
      </c>
      <c r="X101" s="85">
        <v>2.75</v>
      </c>
      <c r="Y101" s="131" t="s">
        <v>33</v>
      </c>
      <c r="Z101" s="131" t="s">
        <v>33</v>
      </c>
      <c r="AA101" s="140" t="s">
        <v>33</v>
      </c>
      <c r="AB101" s="139" t="s">
        <v>33</v>
      </c>
      <c r="AC101" s="139" t="s">
        <v>33</v>
      </c>
      <c r="AD101" s="139">
        <v>1464.3143168115573</v>
      </c>
      <c r="AE101" s="139">
        <v>5920</v>
      </c>
      <c r="AF101" s="137">
        <v>1606</v>
      </c>
      <c r="AG101" s="131">
        <v>5920</v>
      </c>
      <c r="AH101" s="125"/>
      <c r="AI101" s="132"/>
      <c r="AJ101" s="89"/>
      <c r="AS101" s="157" t="s">
        <v>183</v>
      </c>
      <c r="AT101" s="154">
        <v>36</v>
      </c>
      <c r="AU101" s="154">
        <v>1.5</v>
      </c>
      <c r="AV101" s="153">
        <v>856</v>
      </c>
      <c r="AW101" s="153">
        <v>1554</v>
      </c>
      <c r="AX101" s="153">
        <v>1036</v>
      </c>
      <c r="AY101" s="153"/>
      <c r="AZ101" s="153"/>
      <c r="BA101" s="312">
        <v>437.88509703060578</v>
      </c>
      <c r="BB101" s="312">
        <v>1600</v>
      </c>
      <c r="BC101" s="153">
        <v>438</v>
      </c>
      <c r="BD101" s="153">
        <v>1314</v>
      </c>
    </row>
    <row r="102" spans="21:56" hidden="1" x14ac:dyDescent="0.25">
      <c r="U102" s="135" t="s">
        <v>184</v>
      </c>
      <c r="V102" s="87" t="s">
        <v>273</v>
      </c>
      <c r="W102" s="85">
        <v>16</v>
      </c>
      <c r="X102" s="85">
        <v>3</v>
      </c>
      <c r="Y102" s="131" t="s">
        <v>33</v>
      </c>
      <c r="Z102" s="131" t="s">
        <v>33</v>
      </c>
      <c r="AA102" s="140" t="s">
        <v>33</v>
      </c>
      <c r="AB102" s="139" t="s">
        <v>33</v>
      </c>
      <c r="AC102" s="139" t="s">
        <v>33</v>
      </c>
      <c r="AD102" s="139">
        <v>1747.7613699628937</v>
      </c>
      <c r="AE102" s="139">
        <v>7720</v>
      </c>
      <c r="AF102" s="137">
        <v>1921</v>
      </c>
      <c r="AG102" s="131">
        <v>7720</v>
      </c>
      <c r="AH102" s="125"/>
      <c r="AI102" s="132"/>
      <c r="AJ102" s="89"/>
      <c r="AS102" s="157" t="s">
        <v>184</v>
      </c>
      <c r="AT102" s="154">
        <v>32</v>
      </c>
      <c r="AU102" s="154">
        <v>1.625</v>
      </c>
      <c r="AV102" s="153">
        <v>1251</v>
      </c>
      <c r="AW102" s="153">
        <v>2200</v>
      </c>
      <c r="AX102" s="153">
        <v>1522</v>
      </c>
      <c r="AY102" s="153"/>
      <c r="AZ102" s="153"/>
      <c r="BA102" s="312">
        <v>598.61774079632517</v>
      </c>
      <c r="BB102" s="312">
        <v>2200</v>
      </c>
      <c r="BC102" s="153">
        <v>599</v>
      </c>
      <c r="BD102" s="153">
        <v>1796</v>
      </c>
    </row>
    <row r="103" spans="21:56" hidden="1" x14ac:dyDescent="0.25">
      <c r="U103" s="135" t="s">
        <v>185</v>
      </c>
      <c r="V103" s="87" t="s">
        <v>103</v>
      </c>
      <c r="W103" s="85">
        <v>20</v>
      </c>
      <c r="X103" s="85">
        <v>1.125</v>
      </c>
      <c r="Y103" s="131">
        <v>395</v>
      </c>
      <c r="Z103" s="131">
        <v>710</v>
      </c>
      <c r="AA103" s="140">
        <v>710</v>
      </c>
      <c r="AB103" s="138">
        <v>494</v>
      </c>
      <c r="AC103" s="138">
        <v>710</v>
      </c>
      <c r="AD103" s="321">
        <v>335</v>
      </c>
      <c r="AE103" s="322">
        <v>710</v>
      </c>
      <c r="AF103" s="137">
        <v>572</v>
      </c>
      <c r="AG103" s="131">
        <v>710</v>
      </c>
      <c r="AH103" s="125"/>
      <c r="AI103" s="132"/>
      <c r="AJ103" s="88"/>
      <c r="AS103" s="157" t="s">
        <v>185</v>
      </c>
      <c r="AT103" s="154">
        <v>36</v>
      </c>
      <c r="AU103" s="154">
        <v>1.625</v>
      </c>
      <c r="AV103" s="153">
        <v>1199</v>
      </c>
      <c r="AW103" s="153">
        <v>2136</v>
      </c>
      <c r="AX103" s="153">
        <v>1424</v>
      </c>
      <c r="AY103" s="153"/>
      <c r="AZ103" s="153"/>
      <c r="BA103" s="312">
        <v>578.52989714544185</v>
      </c>
      <c r="BB103" s="312">
        <v>2200</v>
      </c>
      <c r="BC103" s="153">
        <v>579</v>
      </c>
      <c r="BD103" s="153">
        <v>1736</v>
      </c>
    </row>
    <row r="104" spans="21:56" hidden="1" x14ac:dyDescent="0.25">
      <c r="U104" s="135" t="s">
        <v>186</v>
      </c>
      <c r="V104" s="87" t="s">
        <v>274</v>
      </c>
      <c r="W104" s="85">
        <v>16</v>
      </c>
      <c r="X104" s="85">
        <v>3.5</v>
      </c>
      <c r="Y104" s="131" t="s">
        <v>33</v>
      </c>
      <c r="Z104" s="131" t="s">
        <v>33</v>
      </c>
      <c r="AA104" s="140" t="s">
        <v>33</v>
      </c>
      <c r="AB104" s="139" t="s">
        <v>33</v>
      </c>
      <c r="AC104" s="139" t="s">
        <v>33</v>
      </c>
      <c r="AD104" s="139">
        <v>2516.0791163125396</v>
      </c>
      <c r="AE104" s="139">
        <v>13000</v>
      </c>
      <c r="AF104" s="137">
        <v>3100</v>
      </c>
      <c r="AG104" s="131">
        <v>13000</v>
      </c>
      <c r="AH104" s="125"/>
      <c r="AI104" s="132"/>
      <c r="AJ104" s="89"/>
      <c r="AS104" s="157" t="s">
        <v>186</v>
      </c>
      <c r="AT104" s="154">
        <v>40</v>
      </c>
      <c r="AU104" s="154">
        <v>1.625</v>
      </c>
      <c r="AV104" s="153">
        <v>1184</v>
      </c>
      <c r="AW104" s="153">
        <v>2092</v>
      </c>
      <c r="AX104" s="153">
        <v>1395</v>
      </c>
      <c r="AY104" s="153"/>
      <c r="AZ104" s="153"/>
      <c r="BA104" s="312">
        <v>546.38934730402843</v>
      </c>
      <c r="BB104" s="312">
        <v>2185.5573892161137</v>
      </c>
      <c r="BC104" s="153">
        <v>546</v>
      </c>
      <c r="BD104" s="153">
        <v>1639</v>
      </c>
    </row>
    <row r="105" spans="21:56" hidden="1" x14ac:dyDescent="0.25">
      <c r="U105" s="135" t="s">
        <v>187</v>
      </c>
      <c r="V105" s="87" t="s">
        <v>85</v>
      </c>
      <c r="W105" s="85">
        <v>4</v>
      </c>
      <c r="X105" s="85">
        <v>0.5</v>
      </c>
      <c r="Y105" s="131">
        <v>13</v>
      </c>
      <c r="Z105" s="131">
        <v>40</v>
      </c>
      <c r="AA105" s="140">
        <v>27</v>
      </c>
      <c r="AB105" s="139">
        <v>16</v>
      </c>
      <c r="AC105" s="139">
        <v>60</v>
      </c>
      <c r="AD105" s="139">
        <v>11</v>
      </c>
      <c r="AE105" s="139">
        <v>54</v>
      </c>
      <c r="AF105" s="137">
        <v>22</v>
      </c>
      <c r="AG105" s="131">
        <v>60</v>
      </c>
      <c r="AH105" s="125"/>
      <c r="AI105" s="132"/>
      <c r="AJ105" s="88"/>
      <c r="AS105" s="157" t="s">
        <v>187</v>
      </c>
      <c r="AT105" s="154">
        <v>36</v>
      </c>
      <c r="AU105" s="154">
        <v>1.75</v>
      </c>
      <c r="AV105" s="153">
        <v>1660</v>
      </c>
      <c r="AW105" s="153">
        <v>2909</v>
      </c>
      <c r="AX105" s="153">
        <v>1939</v>
      </c>
      <c r="AY105" s="153"/>
      <c r="AZ105" s="153"/>
      <c r="BA105" s="312">
        <v>735.48439122867103</v>
      </c>
      <c r="BB105" s="312">
        <v>2941.9375649146841</v>
      </c>
      <c r="BC105" s="153">
        <v>735</v>
      </c>
      <c r="BD105" s="153">
        <v>2206</v>
      </c>
    </row>
    <row r="106" spans="21:56" hidden="1" x14ac:dyDescent="0.25">
      <c r="U106" s="135" t="s">
        <v>188</v>
      </c>
      <c r="V106" s="87" t="s">
        <v>104</v>
      </c>
      <c r="W106" s="85">
        <v>20</v>
      </c>
      <c r="X106" s="85">
        <v>1.25</v>
      </c>
      <c r="Y106" s="131">
        <v>563</v>
      </c>
      <c r="Z106" s="131">
        <v>1000</v>
      </c>
      <c r="AA106" s="140">
        <v>1000</v>
      </c>
      <c r="AB106" s="138">
        <v>704</v>
      </c>
      <c r="AC106" s="138">
        <v>1000</v>
      </c>
      <c r="AD106" s="321">
        <v>438</v>
      </c>
      <c r="AE106" s="322">
        <v>1000</v>
      </c>
      <c r="AF106" s="137">
        <v>820</v>
      </c>
      <c r="AG106" s="131">
        <v>1000</v>
      </c>
      <c r="AH106" s="125"/>
      <c r="AI106" s="132"/>
      <c r="AJ106" s="88"/>
      <c r="AS106" s="157" t="s">
        <v>188</v>
      </c>
      <c r="AT106" s="154">
        <v>40</v>
      </c>
      <c r="AU106" s="154">
        <v>1.75</v>
      </c>
      <c r="AV106" s="153">
        <v>1596</v>
      </c>
      <c r="AW106" s="153">
        <v>2737</v>
      </c>
      <c r="AX106" s="153">
        <v>1825</v>
      </c>
      <c r="AY106" s="153"/>
      <c r="AZ106" s="153"/>
      <c r="BA106" s="312">
        <v>691.68588253752546</v>
      </c>
      <c r="BB106" s="312">
        <v>2766.7435301501018</v>
      </c>
      <c r="BC106" s="153">
        <v>692</v>
      </c>
      <c r="BD106" s="153">
        <v>2075</v>
      </c>
    </row>
    <row r="107" spans="21:56" hidden="1" x14ac:dyDescent="0.25">
      <c r="U107" s="135" t="s">
        <v>189</v>
      </c>
      <c r="V107" s="87" t="s">
        <v>275</v>
      </c>
      <c r="W107" s="85">
        <v>4</v>
      </c>
      <c r="X107" s="85">
        <v>0.75</v>
      </c>
      <c r="Y107" s="131" t="s">
        <v>33</v>
      </c>
      <c r="Z107" s="131" t="s">
        <v>33</v>
      </c>
      <c r="AA107" s="140" t="s">
        <v>33</v>
      </c>
      <c r="AB107" s="139" t="s">
        <v>33</v>
      </c>
      <c r="AC107" s="139" t="s">
        <v>33</v>
      </c>
      <c r="AD107" s="139">
        <v>19.532587056765177</v>
      </c>
      <c r="AE107" s="139">
        <v>100</v>
      </c>
      <c r="AF107" s="137">
        <v>22</v>
      </c>
      <c r="AG107" s="131">
        <v>100</v>
      </c>
      <c r="AH107" s="125"/>
      <c r="AI107" s="132"/>
      <c r="AJ107" s="89"/>
      <c r="AS107" s="157" t="s">
        <v>189</v>
      </c>
      <c r="AT107" s="154">
        <v>36</v>
      </c>
      <c r="AU107" s="154">
        <v>1.875</v>
      </c>
      <c r="AV107" s="153">
        <v>2165</v>
      </c>
      <c r="AW107" s="153">
        <v>3636</v>
      </c>
      <c r="AX107" s="153">
        <v>2424</v>
      </c>
      <c r="AY107" s="153"/>
      <c r="AZ107" s="153"/>
      <c r="BA107" s="312">
        <v>920.86192359184315</v>
      </c>
      <c r="BB107" s="312">
        <v>3683.4476943673722</v>
      </c>
      <c r="BC107" s="153">
        <v>921</v>
      </c>
      <c r="BD107" s="153">
        <v>2763</v>
      </c>
    </row>
    <row r="108" spans="21:56" hidden="1" x14ac:dyDescent="0.25">
      <c r="U108" s="135" t="s">
        <v>190</v>
      </c>
      <c r="V108" s="87" t="s">
        <v>276</v>
      </c>
      <c r="W108" s="85">
        <v>4</v>
      </c>
      <c r="X108" s="85">
        <v>0.75</v>
      </c>
      <c r="Y108" s="131" t="s">
        <v>33</v>
      </c>
      <c r="Z108" s="131" t="s">
        <v>33</v>
      </c>
      <c r="AA108" s="140" t="s">
        <v>33</v>
      </c>
      <c r="AB108" s="139" t="s">
        <v>33</v>
      </c>
      <c r="AC108" s="139" t="s">
        <v>33</v>
      </c>
      <c r="AD108" s="139">
        <v>25.23733636906319</v>
      </c>
      <c r="AE108" s="139">
        <v>100</v>
      </c>
      <c r="AF108" s="137">
        <v>31</v>
      </c>
      <c r="AG108" s="131">
        <v>100</v>
      </c>
      <c r="AH108" s="125"/>
      <c r="AI108" s="132"/>
      <c r="AJ108" s="89"/>
      <c r="AS108" s="157" t="s">
        <v>190</v>
      </c>
      <c r="AT108" s="154">
        <v>40</v>
      </c>
      <c r="AU108" s="154">
        <v>1.875</v>
      </c>
      <c r="AV108" s="153">
        <v>2144</v>
      </c>
      <c r="AW108" s="153">
        <v>3631</v>
      </c>
      <c r="AX108" s="153">
        <v>2421</v>
      </c>
      <c r="AY108" s="153"/>
      <c r="AZ108" s="153"/>
      <c r="BA108" s="312">
        <v>1079.9118220271312</v>
      </c>
      <c r="BB108" s="312">
        <v>4000</v>
      </c>
      <c r="BC108" s="153">
        <v>1083</v>
      </c>
      <c r="BD108" s="153">
        <v>3249</v>
      </c>
    </row>
    <row r="109" spans="21:56" hidden="1" x14ac:dyDescent="0.25">
      <c r="U109" s="135" t="s">
        <v>191</v>
      </c>
      <c r="V109" s="87" t="s">
        <v>277</v>
      </c>
      <c r="W109" s="85">
        <v>4</v>
      </c>
      <c r="X109" s="85">
        <v>0.875</v>
      </c>
      <c r="Y109" s="131" t="s">
        <v>33</v>
      </c>
      <c r="Z109" s="131" t="s">
        <v>33</v>
      </c>
      <c r="AA109" s="140" t="s">
        <v>33</v>
      </c>
      <c r="AB109" s="139" t="s">
        <v>33</v>
      </c>
      <c r="AC109" s="139" t="s">
        <v>33</v>
      </c>
      <c r="AD109" s="139">
        <v>36.040215960961191</v>
      </c>
      <c r="AE109" s="139">
        <v>160</v>
      </c>
      <c r="AF109" s="137">
        <v>49</v>
      </c>
      <c r="AG109" s="131">
        <v>160</v>
      </c>
      <c r="AH109" s="125"/>
      <c r="AI109" s="132"/>
      <c r="AJ109" s="89"/>
      <c r="AS109" s="157" t="s">
        <v>191</v>
      </c>
      <c r="AT109" s="154">
        <v>44</v>
      </c>
      <c r="AU109" s="154">
        <v>1.875</v>
      </c>
      <c r="AV109" s="153">
        <v>2067</v>
      </c>
      <c r="AW109" s="153">
        <v>3433</v>
      </c>
      <c r="AX109" s="153">
        <v>2289</v>
      </c>
      <c r="AY109" s="153"/>
      <c r="AZ109" s="153"/>
      <c r="BA109" s="312">
        <v>815.41150467153398</v>
      </c>
      <c r="BB109" s="312">
        <v>3261.6460186861359</v>
      </c>
      <c r="BC109" s="153">
        <v>815</v>
      </c>
      <c r="BD109" s="153">
        <v>2446</v>
      </c>
    </row>
    <row r="110" spans="21:56" hidden="1" x14ac:dyDescent="0.25">
      <c r="U110" s="135" t="s">
        <v>192</v>
      </c>
      <c r="V110" s="87" t="s">
        <v>278</v>
      </c>
      <c r="W110" s="85">
        <v>4</v>
      </c>
      <c r="X110" s="85">
        <v>1</v>
      </c>
      <c r="Y110" s="131" t="s">
        <v>33</v>
      </c>
      <c r="Z110" s="131" t="s">
        <v>33</v>
      </c>
      <c r="AA110" s="140" t="s">
        <v>33</v>
      </c>
      <c r="AB110" s="138" t="s">
        <v>33</v>
      </c>
      <c r="AC110" s="138" t="s">
        <v>33</v>
      </c>
      <c r="AD110" s="138">
        <v>75.02864289204723</v>
      </c>
      <c r="AE110" s="138">
        <v>245</v>
      </c>
      <c r="AF110" s="137">
        <v>94</v>
      </c>
      <c r="AG110" s="131">
        <v>279</v>
      </c>
      <c r="AH110" s="125"/>
      <c r="AI110" s="132"/>
      <c r="AJ110" s="89"/>
      <c r="AS110" s="157" t="s">
        <v>192</v>
      </c>
      <c r="AT110" s="154">
        <v>48</v>
      </c>
      <c r="AU110" s="154">
        <v>1.875</v>
      </c>
      <c r="AV110" s="153">
        <v>2006</v>
      </c>
      <c r="AW110" s="153">
        <v>3267</v>
      </c>
      <c r="AX110" s="153">
        <v>2178</v>
      </c>
      <c r="AY110" s="153"/>
      <c r="AZ110" s="153"/>
      <c r="BA110" s="312">
        <v>775.86759757641812</v>
      </c>
      <c r="BB110" s="312">
        <v>3103.4703903056725</v>
      </c>
      <c r="BC110" s="153">
        <v>776</v>
      </c>
      <c r="BD110" s="153">
        <v>2328</v>
      </c>
    </row>
    <row r="111" spans="21:56" hidden="1" x14ac:dyDescent="0.25">
      <c r="U111" s="135" t="s">
        <v>193</v>
      </c>
      <c r="V111" s="87" t="s">
        <v>279</v>
      </c>
      <c r="W111" s="85">
        <v>4</v>
      </c>
      <c r="X111" s="85">
        <v>1.125</v>
      </c>
      <c r="Y111" s="131" t="s">
        <v>33</v>
      </c>
      <c r="Z111" s="131" t="s">
        <v>33</v>
      </c>
      <c r="AA111" s="140" t="s">
        <v>33</v>
      </c>
      <c r="AB111" s="139" t="s">
        <v>33</v>
      </c>
      <c r="AC111" s="139" t="s">
        <v>33</v>
      </c>
      <c r="AD111" s="139">
        <v>105.5305515097228</v>
      </c>
      <c r="AE111" s="139">
        <v>355</v>
      </c>
      <c r="AF111" s="137">
        <v>129</v>
      </c>
      <c r="AG111" s="131">
        <v>387</v>
      </c>
      <c r="AH111" s="125"/>
      <c r="AI111" s="132"/>
      <c r="AJ111" s="89"/>
      <c r="AS111" s="157" t="s">
        <v>193</v>
      </c>
      <c r="AT111" s="154">
        <v>48</v>
      </c>
      <c r="AU111" s="154">
        <v>1.875</v>
      </c>
      <c r="AV111" s="153">
        <v>2120</v>
      </c>
      <c r="AW111" s="153">
        <v>3388</v>
      </c>
      <c r="AX111" s="153">
        <v>2259</v>
      </c>
      <c r="AY111" s="153"/>
      <c r="AZ111" s="153"/>
      <c r="BA111" s="312">
        <v>1065.2644360316951</v>
      </c>
      <c r="BB111" s="312">
        <v>3999.9999999999991</v>
      </c>
      <c r="BC111" s="153">
        <v>1065</v>
      </c>
      <c r="BD111" s="153">
        <v>3196</v>
      </c>
    </row>
    <row r="112" spans="21:56" hidden="1" x14ac:dyDescent="0.25">
      <c r="U112" s="135" t="s">
        <v>194</v>
      </c>
      <c r="V112" s="87" t="s">
        <v>280</v>
      </c>
      <c r="W112" s="85">
        <v>8</v>
      </c>
      <c r="X112" s="85">
        <v>1</v>
      </c>
      <c r="Y112" s="131" t="s">
        <v>33</v>
      </c>
      <c r="Z112" s="131" t="s">
        <v>33</v>
      </c>
      <c r="AA112" s="140" t="s">
        <v>33</v>
      </c>
      <c r="AB112" s="139" t="s">
        <v>33</v>
      </c>
      <c r="AC112" s="139" t="s">
        <v>33</v>
      </c>
      <c r="AD112" s="139">
        <v>68.207857174588398</v>
      </c>
      <c r="AE112" s="139">
        <v>245</v>
      </c>
      <c r="AF112" s="137">
        <v>88</v>
      </c>
      <c r="AG112" s="131">
        <v>264</v>
      </c>
      <c r="AH112" s="125"/>
      <c r="AI112" s="132"/>
      <c r="AJ112" s="89"/>
      <c r="AS112" s="157" t="s">
        <v>194</v>
      </c>
      <c r="AT112" s="154">
        <v>36</v>
      </c>
      <c r="AU112" s="154">
        <v>2.25</v>
      </c>
      <c r="AV112" s="153">
        <v>3191</v>
      </c>
      <c r="AW112" s="153">
        <v>5007</v>
      </c>
      <c r="AX112" s="153">
        <v>3338</v>
      </c>
      <c r="AY112" s="153"/>
      <c r="AZ112" s="153"/>
      <c r="BA112" s="312">
        <v>1398.0591455216595</v>
      </c>
      <c r="BB112" s="312">
        <v>5592.236582086638</v>
      </c>
      <c r="BC112" s="153">
        <v>1398</v>
      </c>
      <c r="BD112" s="153">
        <v>4194</v>
      </c>
    </row>
    <row r="113" spans="21:56" hidden="1" x14ac:dyDescent="0.25">
      <c r="U113" s="135" t="s">
        <v>195</v>
      </c>
      <c r="V113" s="87" t="s">
        <v>281</v>
      </c>
      <c r="W113" s="85">
        <v>8</v>
      </c>
      <c r="X113" s="85">
        <v>1.125</v>
      </c>
      <c r="Y113" s="131" t="s">
        <v>33</v>
      </c>
      <c r="Z113" s="131" t="s">
        <v>33</v>
      </c>
      <c r="AA113" s="140" t="s">
        <v>33</v>
      </c>
      <c r="AB113" s="139" t="s">
        <v>33</v>
      </c>
      <c r="AC113" s="139" t="s">
        <v>33</v>
      </c>
      <c r="AD113" s="139">
        <v>86.771056105948773</v>
      </c>
      <c r="AE113" s="139">
        <v>355</v>
      </c>
      <c r="AF113" s="137">
        <v>119</v>
      </c>
      <c r="AG113" s="131">
        <v>357</v>
      </c>
      <c r="AH113" s="125"/>
      <c r="AI113" s="132"/>
      <c r="AJ113" s="89"/>
      <c r="AS113" s="157" t="s">
        <v>195</v>
      </c>
      <c r="AT113" s="154">
        <v>40</v>
      </c>
      <c r="AU113" s="154">
        <v>2.25</v>
      </c>
      <c r="AV113" s="153">
        <v>3208</v>
      </c>
      <c r="AW113" s="153">
        <v>5231</v>
      </c>
      <c r="AX113" s="153">
        <v>3487</v>
      </c>
      <c r="AY113" s="153"/>
      <c r="AZ113" s="153"/>
      <c r="BA113" s="312">
        <v>1116.1705616868355</v>
      </c>
      <c r="BB113" s="312">
        <v>4464.6822467473421</v>
      </c>
      <c r="BC113" s="153">
        <v>1116</v>
      </c>
      <c r="BD113" s="153">
        <v>3349</v>
      </c>
    </row>
    <row r="114" spans="21:56" hidden="1" x14ac:dyDescent="0.25">
      <c r="U114" s="135" t="s">
        <v>196</v>
      </c>
      <c r="V114" s="87" t="s">
        <v>282</v>
      </c>
      <c r="W114" s="85">
        <v>8</v>
      </c>
      <c r="X114" s="85">
        <v>1.25</v>
      </c>
      <c r="Y114" s="131" t="s">
        <v>33</v>
      </c>
      <c r="Z114" s="131" t="s">
        <v>33</v>
      </c>
      <c r="AA114" s="140" t="s">
        <v>33</v>
      </c>
      <c r="AB114" s="139" t="s">
        <v>33</v>
      </c>
      <c r="AC114" s="139" t="s">
        <v>33</v>
      </c>
      <c r="AD114" s="139">
        <v>154.11360624613545</v>
      </c>
      <c r="AE114" s="139">
        <v>500</v>
      </c>
      <c r="AF114" s="137">
        <v>166</v>
      </c>
      <c r="AG114" s="131">
        <v>500</v>
      </c>
      <c r="AH114" s="125"/>
      <c r="AI114" s="132"/>
      <c r="AJ114" s="89"/>
      <c r="AS114" s="157" t="s">
        <v>196</v>
      </c>
      <c r="AT114" s="154">
        <v>40</v>
      </c>
      <c r="AU114" s="154">
        <v>2.25</v>
      </c>
      <c r="AV114" s="153">
        <v>3466</v>
      </c>
      <c r="AW114" s="153">
        <v>5700</v>
      </c>
      <c r="AX114" s="153">
        <v>3800</v>
      </c>
      <c r="AY114" s="153"/>
      <c r="AZ114" s="153"/>
      <c r="BA114" s="312">
        <v>1252.3628881485849</v>
      </c>
      <c r="BB114" s="312">
        <v>5009.4515525943398</v>
      </c>
      <c r="BC114" s="153">
        <v>1256</v>
      </c>
      <c r="BD114" s="153">
        <v>3757</v>
      </c>
    </row>
    <row r="115" spans="21:56" hidden="1" x14ac:dyDescent="0.25">
      <c r="U115" s="135" t="s">
        <v>197</v>
      </c>
      <c r="V115" s="87" t="s">
        <v>283</v>
      </c>
      <c r="W115" s="85">
        <v>8</v>
      </c>
      <c r="X115" s="85">
        <v>1.5</v>
      </c>
      <c r="Y115" s="131" t="s">
        <v>33</v>
      </c>
      <c r="Z115" s="131" t="s">
        <v>33</v>
      </c>
      <c r="AA115" s="140" t="s">
        <v>33</v>
      </c>
      <c r="AB115" s="139" t="s">
        <v>33</v>
      </c>
      <c r="AC115" s="139" t="s">
        <v>33</v>
      </c>
      <c r="AD115" s="139">
        <v>242.01594874115099</v>
      </c>
      <c r="AE115" s="139">
        <v>800</v>
      </c>
      <c r="AF115" s="137">
        <v>245</v>
      </c>
      <c r="AG115" s="131">
        <v>800</v>
      </c>
      <c r="AH115" s="125"/>
      <c r="AI115" s="132"/>
      <c r="AJ115" s="89"/>
      <c r="AS115" s="157" t="s">
        <v>197</v>
      </c>
      <c r="AT115" s="154">
        <v>4</v>
      </c>
      <c r="AU115" s="154">
        <v>0.5</v>
      </c>
      <c r="AV115" s="153">
        <v>13</v>
      </c>
      <c r="AW115" s="153">
        <v>28</v>
      </c>
      <c r="AX115" s="153">
        <v>19</v>
      </c>
      <c r="AY115" s="155" t="s">
        <v>33</v>
      </c>
      <c r="AZ115" s="155" t="s">
        <v>33</v>
      </c>
      <c r="BA115" s="323">
        <v>8.426916130204404</v>
      </c>
      <c r="BB115" s="324">
        <v>42.134580651022027</v>
      </c>
      <c r="BC115" s="153">
        <v>16</v>
      </c>
      <c r="BD115" s="153">
        <v>47</v>
      </c>
    </row>
    <row r="116" spans="21:56" hidden="1" x14ac:dyDescent="0.25">
      <c r="U116" s="135" t="s">
        <v>198</v>
      </c>
      <c r="V116" s="87" t="s">
        <v>284</v>
      </c>
      <c r="W116" s="85">
        <v>8</v>
      </c>
      <c r="X116" s="85">
        <v>1.75</v>
      </c>
      <c r="Y116" s="131" t="s">
        <v>33</v>
      </c>
      <c r="Z116" s="131" t="s">
        <v>33</v>
      </c>
      <c r="AA116" s="140" t="s">
        <v>33</v>
      </c>
      <c r="AB116" s="139" t="s">
        <v>33</v>
      </c>
      <c r="AC116" s="139" t="s">
        <v>33</v>
      </c>
      <c r="AD116" s="139">
        <v>406.00117429056178</v>
      </c>
      <c r="AE116" s="139">
        <v>1500</v>
      </c>
      <c r="AF116" s="137">
        <v>430</v>
      </c>
      <c r="AG116" s="131">
        <v>1500</v>
      </c>
      <c r="AH116" s="125"/>
      <c r="AI116" s="132"/>
      <c r="AJ116" s="89"/>
      <c r="AS116" s="157" t="s">
        <v>198</v>
      </c>
      <c r="AT116" s="154">
        <v>4</v>
      </c>
      <c r="AU116" s="154">
        <v>0.625</v>
      </c>
      <c r="AV116" s="153">
        <v>24</v>
      </c>
      <c r="AW116" s="153">
        <v>51</v>
      </c>
      <c r="AX116" s="153">
        <v>34</v>
      </c>
      <c r="AY116" s="155" t="s">
        <v>33</v>
      </c>
      <c r="AZ116" s="155" t="s">
        <v>33</v>
      </c>
      <c r="BA116" s="323">
        <v>13.583184208141336</v>
      </c>
      <c r="BB116" s="324">
        <v>67.915921040706678</v>
      </c>
      <c r="BC116" s="153">
        <v>28</v>
      </c>
      <c r="BD116" s="153">
        <v>84</v>
      </c>
    </row>
    <row r="117" spans="21:56" hidden="1" x14ac:dyDescent="0.25">
      <c r="U117" s="135" t="s">
        <v>199</v>
      </c>
      <c r="V117" s="87" t="s">
        <v>105</v>
      </c>
      <c r="W117" s="85">
        <v>24</v>
      </c>
      <c r="X117" s="85">
        <v>1.25</v>
      </c>
      <c r="Y117" s="131">
        <v>666</v>
      </c>
      <c r="Z117" s="131">
        <v>1000</v>
      </c>
      <c r="AA117" s="140">
        <v>1000</v>
      </c>
      <c r="AB117" s="138"/>
      <c r="AC117" s="138"/>
      <c r="AD117" s="321">
        <v>397.92498280708048</v>
      </c>
      <c r="AE117" s="322">
        <v>1000</v>
      </c>
      <c r="AF117" s="137">
        <v>398</v>
      </c>
      <c r="AG117" s="131">
        <v>1000</v>
      </c>
      <c r="AH117" s="125"/>
      <c r="AI117" s="132"/>
      <c r="AJ117" s="89"/>
      <c r="AS117" s="157" t="s">
        <v>199</v>
      </c>
      <c r="AT117" s="154">
        <v>4</v>
      </c>
      <c r="AU117" s="154">
        <v>0.625</v>
      </c>
      <c r="AV117" s="153">
        <v>33</v>
      </c>
      <c r="AW117" s="153">
        <v>67</v>
      </c>
      <c r="AX117" s="153">
        <v>45</v>
      </c>
      <c r="AY117" s="155" t="s">
        <v>33</v>
      </c>
      <c r="AZ117" s="155" t="s">
        <v>33</v>
      </c>
      <c r="BA117" s="323">
        <v>16.820254256037707</v>
      </c>
      <c r="BB117" s="324">
        <v>84.101271280188527</v>
      </c>
      <c r="BC117" s="153">
        <v>38</v>
      </c>
      <c r="BD117" s="153">
        <v>114</v>
      </c>
    </row>
    <row r="118" spans="21:56" hidden="1" x14ac:dyDescent="0.25">
      <c r="U118" s="135" t="s">
        <v>200</v>
      </c>
      <c r="V118" s="87" t="s">
        <v>285</v>
      </c>
      <c r="W118" s="85">
        <v>8</v>
      </c>
      <c r="X118" s="85">
        <v>2</v>
      </c>
      <c r="Y118" s="131" t="s">
        <v>33</v>
      </c>
      <c r="Z118" s="131" t="s">
        <v>33</v>
      </c>
      <c r="AA118" s="140" t="s">
        <v>33</v>
      </c>
      <c r="AB118" s="139" t="s">
        <v>33</v>
      </c>
      <c r="AC118" s="139" t="s">
        <v>33</v>
      </c>
      <c r="AD118" s="139">
        <v>573.91241996234271</v>
      </c>
      <c r="AE118" s="139">
        <v>2200</v>
      </c>
      <c r="AF118" s="137">
        <v>611</v>
      </c>
      <c r="AG118" s="131">
        <v>2200</v>
      </c>
      <c r="AH118" s="125"/>
      <c r="AI118" s="132"/>
      <c r="AJ118" s="89"/>
      <c r="AS118" s="157" t="s">
        <v>200</v>
      </c>
      <c r="AT118" s="154">
        <v>4</v>
      </c>
      <c r="AU118" s="154">
        <v>0.625</v>
      </c>
      <c r="AV118" s="153">
        <v>50</v>
      </c>
      <c r="AW118" s="153">
        <v>102</v>
      </c>
      <c r="AX118" s="153">
        <v>68</v>
      </c>
      <c r="AY118" s="155" t="s">
        <v>33</v>
      </c>
      <c r="AZ118" s="155" t="s">
        <v>33</v>
      </c>
      <c r="BA118" s="323">
        <v>30.072098613995735</v>
      </c>
      <c r="BB118" s="324">
        <v>120</v>
      </c>
      <c r="BC118" s="153">
        <v>41</v>
      </c>
      <c r="BD118" s="153">
        <v>120</v>
      </c>
    </row>
    <row r="119" spans="21:56" hidden="1" x14ac:dyDescent="0.25">
      <c r="U119" s="135" t="s">
        <v>201</v>
      </c>
      <c r="V119" s="87" t="s">
        <v>286</v>
      </c>
      <c r="W119" s="85">
        <v>12</v>
      </c>
      <c r="X119" s="85">
        <v>2</v>
      </c>
      <c r="Y119" s="131" t="s">
        <v>33</v>
      </c>
      <c r="Z119" s="131" t="s">
        <v>33</v>
      </c>
      <c r="AA119" s="140" t="s">
        <v>33</v>
      </c>
      <c r="AB119" s="139" t="s">
        <v>33</v>
      </c>
      <c r="AC119" s="139" t="s">
        <v>33</v>
      </c>
      <c r="AD119" s="139">
        <v>529.37376209386832</v>
      </c>
      <c r="AE119" s="139">
        <v>2200</v>
      </c>
      <c r="AF119" s="137">
        <v>548</v>
      </c>
      <c r="AG119" s="131">
        <v>2200</v>
      </c>
      <c r="AH119" s="125"/>
      <c r="AI119" s="132"/>
      <c r="AJ119" s="89"/>
      <c r="AS119" s="157" t="s">
        <v>201</v>
      </c>
      <c r="AT119" s="154">
        <v>4</v>
      </c>
      <c r="AU119" s="154">
        <v>0.75</v>
      </c>
      <c r="AV119" s="153">
        <v>74</v>
      </c>
      <c r="AW119" s="153">
        <v>151</v>
      </c>
      <c r="AX119" s="153">
        <v>101</v>
      </c>
      <c r="AY119" s="155" t="s">
        <v>33</v>
      </c>
      <c r="AZ119" s="155" t="s">
        <v>33</v>
      </c>
      <c r="BA119" s="323">
        <v>42.995751235376289</v>
      </c>
      <c r="BB119" s="324">
        <v>199.99999999999997</v>
      </c>
      <c r="BC119" s="153">
        <v>66</v>
      </c>
      <c r="BD119" s="153">
        <v>198</v>
      </c>
    </row>
    <row r="120" spans="21:56" hidden="1" x14ac:dyDescent="0.25">
      <c r="U120" s="135" t="s">
        <v>202</v>
      </c>
      <c r="V120" s="87" t="s">
        <v>287</v>
      </c>
      <c r="W120" s="85">
        <v>12</v>
      </c>
      <c r="X120" s="85">
        <v>2.5</v>
      </c>
      <c r="Y120" s="131" t="s">
        <v>33</v>
      </c>
      <c r="Z120" s="131" t="s">
        <v>33</v>
      </c>
      <c r="AA120" s="140" t="s">
        <v>33</v>
      </c>
      <c r="AB120" s="139" t="s">
        <v>33</v>
      </c>
      <c r="AC120" s="139" t="s">
        <v>33</v>
      </c>
      <c r="AD120" s="139">
        <v>794.28538442172078</v>
      </c>
      <c r="AE120" s="139">
        <v>4400</v>
      </c>
      <c r="AF120" s="137">
        <v>831</v>
      </c>
      <c r="AG120" s="131">
        <v>4400</v>
      </c>
      <c r="AH120" s="125"/>
      <c r="AI120" s="132"/>
      <c r="AJ120" s="89"/>
      <c r="AS120" s="157" t="s">
        <v>202</v>
      </c>
      <c r="AT120" s="154">
        <v>8</v>
      </c>
      <c r="AU120" s="154">
        <v>0.625</v>
      </c>
      <c r="AV120" s="153">
        <v>53</v>
      </c>
      <c r="AW120" s="153">
        <v>108</v>
      </c>
      <c r="AX120" s="153">
        <v>72</v>
      </c>
      <c r="AY120" s="155" t="s">
        <v>33</v>
      </c>
      <c r="AZ120" s="155" t="s">
        <v>33</v>
      </c>
      <c r="BA120" s="323">
        <v>27.338271467268854</v>
      </c>
      <c r="BB120" s="324">
        <v>120</v>
      </c>
      <c r="BC120" s="153">
        <v>37</v>
      </c>
      <c r="BD120" s="153">
        <v>112</v>
      </c>
    </row>
    <row r="121" spans="21:56" hidden="1" x14ac:dyDescent="0.25">
      <c r="U121" s="135" t="s">
        <v>203</v>
      </c>
      <c r="V121" s="87" t="s">
        <v>288</v>
      </c>
      <c r="W121" s="85">
        <v>12</v>
      </c>
      <c r="X121" s="85">
        <v>2.75</v>
      </c>
      <c r="Y121" s="131" t="s">
        <v>33</v>
      </c>
      <c r="Z121" s="131" t="s">
        <v>33</v>
      </c>
      <c r="AA121" s="140" t="s">
        <v>33</v>
      </c>
      <c r="AB121" s="139" t="s">
        <v>33</v>
      </c>
      <c r="AC121" s="139" t="s">
        <v>33</v>
      </c>
      <c r="AD121" s="139">
        <v>874.90478048489285</v>
      </c>
      <c r="AE121" s="139">
        <v>5920</v>
      </c>
      <c r="AF121" s="137">
        <v>1326</v>
      </c>
      <c r="AG121" s="131">
        <v>5920</v>
      </c>
      <c r="AH121" s="125"/>
      <c r="AI121" s="132"/>
      <c r="AJ121" s="89"/>
      <c r="AS121" s="157" t="s">
        <v>203</v>
      </c>
      <c r="AT121" s="154">
        <v>8</v>
      </c>
      <c r="AU121" s="154">
        <v>0.75</v>
      </c>
      <c r="AV121" s="153">
        <v>70</v>
      </c>
      <c r="AW121" s="153">
        <v>141</v>
      </c>
      <c r="AX121" s="153">
        <v>94</v>
      </c>
      <c r="AY121" s="155" t="s">
        <v>33</v>
      </c>
      <c r="AZ121" s="155" t="s">
        <v>33</v>
      </c>
      <c r="BA121" s="323">
        <v>35.352669813523384</v>
      </c>
      <c r="BB121" s="324">
        <v>176.76334906761693</v>
      </c>
      <c r="BC121" s="153">
        <v>48</v>
      </c>
      <c r="BD121" s="153">
        <v>145</v>
      </c>
    </row>
    <row r="122" spans="21:56" hidden="1" x14ac:dyDescent="0.25">
      <c r="U122" s="135" t="s">
        <v>204</v>
      </c>
      <c r="V122" s="87" t="s">
        <v>106</v>
      </c>
      <c r="W122" s="85">
        <v>28</v>
      </c>
      <c r="X122" s="85">
        <v>1.25</v>
      </c>
      <c r="Y122" s="131">
        <v>621</v>
      </c>
      <c r="Z122" s="131">
        <v>1000</v>
      </c>
      <c r="AA122" s="140">
        <v>1000</v>
      </c>
      <c r="AB122" s="138"/>
      <c r="AC122" s="138"/>
      <c r="AD122" s="321">
        <v>366.22720603311296</v>
      </c>
      <c r="AE122" s="322">
        <v>1000</v>
      </c>
      <c r="AF122" s="137">
        <v>366</v>
      </c>
      <c r="AG122" s="131">
        <v>1000</v>
      </c>
      <c r="AH122" s="125"/>
      <c r="AI122" s="132"/>
      <c r="AJ122" s="89"/>
      <c r="AS122" s="157" t="s">
        <v>204</v>
      </c>
      <c r="AT122" s="154">
        <v>8</v>
      </c>
      <c r="AU122" s="154">
        <v>0.75</v>
      </c>
      <c r="AV122" s="153">
        <v>102</v>
      </c>
      <c r="AW122" s="153">
        <v>200</v>
      </c>
      <c r="AX122" s="153">
        <v>138</v>
      </c>
      <c r="AY122" s="155" t="s">
        <v>33</v>
      </c>
      <c r="AZ122" s="155" t="s">
        <v>33</v>
      </c>
      <c r="BA122" s="323">
        <v>56.889353722911196</v>
      </c>
      <c r="BB122" s="324">
        <v>200</v>
      </c>
      <c r="BC122" s="153">
        <v>71</v>
      </c>
      <c r="BD122" s="153">
        <v>200</v>
      </c>
    </row>
    <row r="123" spans="21:56" hidden="1" x14ac:dyDescent="0.25">
      <c r="U123" s="135" t="s">
        <v>205</v>
      </c>
      <c r="V123" s="87" t="s">
        <v>107</v>
      </c>
      <c r="W123" s="85">
        <v>28</v>
      </c>
      <c r="X123" s="85">
        <v>1.25</v>
      </c>
      <c r="Y123" s="131">
        <v>713</v>
      </c>
      <c r="Z123" s="131">
        <v>1000</v>
      </c>
      <c r="AA123" s="140">
        <v>1000</v>
      </c>
      <c r="AB123" s="138"/>
      <c r="AC123" s="138"/>
      <c r="AD123" s="321">
        <v>391.37585537444261</v>
      </c>
      <c r="AE123" s="322">
        <v>1000</v>
      </c>
      <c r="AF123" s="137">
        <v>391</v>
      </c>
      <c r="AG123" s="131">
        <v>1000</v>
      </c>
      <c r="AH123" s="125"/>
      <c r="AI123" s="132"/>
      <c r="AJ123" s="89"/>
      <c r="AS123" s="157" t="s">
        <v>205</v>
      </c>
      <c r="AT123" s="154">
        <v>8</v>
      </c>
      <c r="AU123" s="154">
        <v>0.875</v>
      </c>
      <c r="AV123" s="153">
        <v>132</v>
      </c>
      <c r="AW123" s="153">
        <v>267</v>
      </c>
      <c r="AX123" s="153">
        <v>178</v>
      </c>
      <c r="AY123" s="155" t="s">
        <v>33</v>
      </c>
      <c r="AZ123" s="155" t="s">
        <v>33</v>
      </c>
      <c r="BA123" s="155" t="s">
        <v>33</v>
      </c>
      <c r="BB123" s="155" t="s">
        <v>33</v>
      </c>
      <c r="BC123" s="153" t="s">
        <v>33</v>
      </c>
      <c r="BD123" s="153" t="s">
        <v>33</v>
      </c>
    </row>
    <row r="124" spans="21:56" hidden="1" x14ac:dyDescent="0.25">
      <c r="U124" s="135" t="s">
        <v>206</v>
      </c>
      <c r="V124" s="87" t="s">
        <v>108</v>
      </c>
      <c r="W124" s="85">
        <v>28</v>
      </c>
      <c r="X124" s="85">
        <v>1.5</v>
      </c>
      <c r="Y124" s="131">
        <v>858</v>
      </c>
      <c r="Z124" s="131">
        <v>1600</v>
      </c>
      <c r="AA124" s="140">
        <v>1447</v>
      </c>
      <c r="AB124" s="139"/>
      <c r="AC124" s="139"/>
      <c r="AD124" s="139">
        <v>485.63643873919682</v>
      </c>
      <c r="AE124" s="139">
        <v>1600</v>
      </c>
      <c r="AF124" s="137">
        <v>487</v>
      </c>
      <c r="AG124" s="131">
        <v>1462</v>
      </c>
      <c r="AH124" s="125"/>
      <c r="AI124" s="132"/>
      <c r="AJ124" s="89"/>
      <c r="AS124" s="157" t="s">
        <v>206</v>
      </c>
      <c r="AT124" s="154">
        <v>8</v>
      </c>
      <c r="AU124" s="154">
        <v>0.875</v>
      </c>
      <c r="AV124" s="153">
        <v>167</v>
      </c>
      <c r="AW124" s="153">
        <v>320</v>
      </c>
      <c r="AX124" s="153">
        <v>226</v>
      </c>
      <c r="AY124" s="155" t="s">
        <v>33</v>
      </c>
      <c r="AZ124" s="155" t="s">
        <v>33</v>
      </c>
      <c r="BA124" s="323">
        <v>97.383983192739976</v>
      </c>
      <c r="BB124" s="324">
        <v>320</v>
      </c>
      <c r="BC124" s="153">
        <v>149</v>
      </c>
      <c r="BD124" s="153">
        <v>320</v>
      </c>
    </row>
    <row r="125" spans="21:56" hidden="1" x14ac:dyDescent="0.25">
      <c r="U125" s="135" t="s">
        <v>207</v>
      </c>
      <c r="V125" s="87" t="s">
        <v>109</v>
      </c>
      <c r="W125" s="85">
        <v>32</v>
      </c>
      <c r="X125" s="85">
        <v>1.5</v>
      </c>
      <c r="Y125" s="131">
        <v>805</v>
      </c>
      <c r="Z125" s="131">
        <v>1600</v>
      </c>
      <c r="AA125" s="140">
        <v>1341</v>
      </c>
      <c r="AB125" s="138"/>
      <c r="AC125" s="138"/>
      <c r="AD125" s="321">
        <v>450.53983170225388</v>
      </c>
      <c r="AE125" s="322">
        <v>1600</v>
      </c>
      <c r="AF125" s="137">
        <v>452</v>
      </c>
      <c r="AG125" s="131">
        <v>1357</v>
      </c>
      <c r="AH125" s="125"/>
      <c r="AI125" s="132"/>
      <c r="AJ125" s="89"/>
      <c r="AS125" s="157" t="s">
        <v>207</v>
      </c>
      <c r="AT125" s="154">
        <v>8</v>
      </c>
      <c r="AU125" s="154">
        <v>0.875</v>
      </c>
      <c r="AV125" s="153">
        <v>208</v>
      </c>
      <c r="AW125" s="153">
        <v>320</v>
      </c>
      <c r="AX125" s="153">
        <v>281</v>
      </c>
      <c r="AY125" s="155" t="s">
        <v>33</v>
      </c>
      <c r="AZ125" s="155" t="s">
        <v>33</v>
      </c>
      <c r="BA125" s="323">
        <v>122.7887083677804</v>
      </c>
      <c r="BB125" s="324">
        <v>320</v>
      </c>
      <c r="BC125" s="153">
        <v>190</v>
      </c>
      <c r="BD125" s="153">
        <v>320</v>
      </c>
    </row>
    <row r="126" spans="21:56" hidden="1" x14ac:dyDescent="0.25">
      <c r="U126" s="135" t="s">
        <v>208</v>
      </c>
      <c r="V126" s="87" t="s">
        <v>110</v>
      </c>
      <c r="W126" s="85">
        <v>32</v>
      </c>
      <c r="X126" s="85">
        <v>1.5</v>
      </c>
      <c r="Y126" s="131">
        <v>905</v>
      </c>
      <c r="Z126" s="131">
        <v>1600</v>
      </c>
      <c r="AA126" s="140">
        <v>1509</v>
      </c>
      <c r="AB126" s="138"/>
      <c r="AC126" s="138"/>
      <c r="AD126" s="138">
        <v>564.61159919928832</v>
      </c>
      <c r="AE126" s="138">
        <v>1600</v>
      </c>
      <c r="AF126" s="137">
        <v>566</v>
      </c>
      <c r="AG126" s="131">
        <v>1600</v>
      </c>
      <c r="AH126" s="125"/>
      <c r="AI126" s="132"/>
      <c r="AJ126" s="89"/>
      <c r="AS126" s="158" t="s">
        <v>208</v>
      </c>
      <c r="AT126" s="148">
        <v>12</v>
      </c>
      <c r="AU126" s="148">
        <v>0.875</v>
      </c>
      <c r="AV126" s="149">
        <v>175</v>
      </c>
      <c r="AW126" s="149">
        <v>320</v>
      </c>
      <c r="AX126" s="150">
        <v>237</v>
      </c>
      <c r="AY126" s="152" t="s">
        <v>33</v>
      </c>
      <c r="AZ126" s="152" t="s">
        <v>33</v>
      </c>
      <c r="BA126" s="325">
        <v>105.67260492012207</v>
      </c>
      <c r="BB126" s="326">
        <v>320</v>
      </c>
      <c r="BC126" s="151">
        <v>173</v>
      </c>
      <c r="BD126" s="149">
        <v>320</v>
      </c>
    </row>
    <row r="127" spans="21:56" hidden="1" x14ac:dyDescent="0.25">
      <c r="U127" s="135" t="s">
        <v>209</v>
      </c>
      <c r="V127" s="87" t="s">
        <v>111</v>
      </c>
      <c r="W127" s="85">
        <v>32</v>
      </c>
      <c r="X127" s="85">
        <v>1.5</v>
      </c>
      <c r="Y127" s="131">
        <v>964</v>
      </c>
      <c r="Z127" s="131">
        <v>1600</v>
      </c>
      <c r="AA127" s="140">
        <v>1600</v>
      </c>
      <c r="AB127" s="138"/>
      <c r="AC127" s="138"/>
      <c r="AD127" s="321">
        <v>594.87553751482801</v>
      </c>
      <c r="AE127" s="322">
        <v>1600</v>
      </c>
      <c r="AF127" s="137">
        <v>597</v>
      </c>
      <c r="AG127" s="131">
        <v>1600</v>
      </c>
      <c r="AH127" s="125"/>
      <c r="AI127" s="132"/>
      <c r="AJ127" s="89"/>
      <c r="AS127" s="158" t="s">
        <v>209</v>
      </c>
      <c r="AT127" s="148">
        <v>12</v>
      </c>
      <c r="AU127" s="148">
        <v>1</v>
      </c>
      <c r="AV127" s="149">
        <v>276</v>
      </c>
      <c r="AW127" s="149">
        <v>490</v>
      </c>
      <c r="AX127" s="150">
        <v>373</v>
      </c>
      <c r="AY127" s="152" t="s">
        <v>33</v>
      </c>
      <c r="AZ127" s="152" t="s">
        <v>33</v>
      </c>
      <c r="BA127" s="325">
        <v>170.24681150777263</v>
      </c>
      <c r="BB127" s="326">
        <v>490</v>
      </c>
      <c r="BC127" s="151">
        <v>280</v>
      </c>
      <c r="BD127" s="149">
        <v>490</v>
      </c>
    </row>
    <row r="128" spans="21:56" hidden="1" x14ac:dyDescent="0.25">
      <c r="U128" s="135" t="s">
        <v>210</v>
      </c>
      <c r="V128" s="87" t="s">
        <v>112</v>
      </c>
      <c r="W128" s="85">
        <v>36</v>
      </c>
      <c r="X128" s="85">
        <v>1.5</v>
      </c>
      <c r="Y128" s="131">
        <v>910</v>
      </c>
      <c r="Z128" s="131">
        <v>1600</v>
      </c>
      <c r="AA128" s="140">
        <v>1482</v>
      </c>
      <c r="AB128" s="138"/>
      <c r="AC128" s="138"/>
      <c r="AD128" s="321">
        <v>555.67953407143796</v>
      </c>
      <c r="AE128" s="322">
        <v>1599.9999999999998</v>
      </c>
      <c r="AF128" s="137">
        <v>557</v>
      </c>
      <c r="AG128" s="131">
        <v>1600</v>
      </c>
      <c r="AH128" s="125"/>
      <c r="AI128" s="132"/>
      <c r="AJ128" s="89"/>
      <c r="AS128" s="158" t="s">
        <v>210</v>
      </c>
      <c r="AT128" s="148">
        <v>16</v>
      </c>
      <c r="AU128" s="148">
        <v>1.125</v>
      </c>
      <c r="AV128" s="149">
        <v>277</v>
      </c>
      <c r="AW128" s="149">
        <v>562</v>
      </c>
      <c r="AX128" s="150">
        <v>375</v>
      </c>
      <c r="AY128" s="152" t="s">
        <v>33</v>
      </c>
      <c r="AZ128" s="152" t="s">
        <v>33</v>
      </c>
      <c r="BA128" s="325">
        <v>170.01729238655082</v>
      </c>
      <c r="BB128" s="326">
        <v>710</v>
      </c>
      <c r="BC128" s="151">
        <v>314</v>
      </c>
      <c r="BD128" s="149">
        <v>710</v>
      </c>
    </row>
    <row r="129" spans="21:56" hidden="1" x14ac:dyDescent="0.25">
      <c r="U129" s="135" t="s">
        <v>211</v>
      </c>
      <c r="V129" s="87" t="s">
        <v>113</v>
      </c>
      <c r="W129" s="85">
        <v>36</v>
      </c>
      <c r="X129" s="85">
        <v>1.5</v>
      </c>
      <c r="Y129" s="131">
        <v>1103</v>
      </c>
      <c r="Z129" s="131">
        <v>1600</v>
      </c>
      <c r="AA129" s="140">
        <v>1600</v>
      </c>
      <c r="AB129" s="138"/>
      <c r="AC129" s="138"/>
      <c r="AD129" s="321">
        <v>628.30005272176095</v>
      </c>
      <c r="AE129" s="322">
        <v>1600</v>
      </c>
      <c r="AF129" s="137">
        <v>628</v>
      </c>
      <c r="AG129" s="131">
        <v>1600</v>
      </c>
      <c r="AH129" s="125"/>
      <c r="AI129" s="132"/>
      <c r="AJ129" s="89"/>
      <c r="AS129" s="158" t="s">
        <v>211</v>
      </c>
      <c r="AT129" s="148">
        <v>16</v>
      </c>
      <c r="AU129" s="148">
        <v>1.25</v>
      </c>
      <c r="AV129" s="149">
        <v>407</v>
      </c>
      <c r="AW129" s="149">
        <v>824</v>
      </c>
      <c r="AX129" s="150">
        <v>549</v>
      </c>
      <c r="AY129" s="152" t="s">
        <v>33</v>
      </c>
      <c r="AZ129" s="152" t="s">
        <v>33</v>
      </c>
      <c r="BA129" s="325">
        <v>188.23876191492261</v>
      </c>
      <c r="BB129" s="326">
        <v>941.19380957461306</v>
      </c>
      <c r="BC129" s="151">
        <v>456</v>
      </c>
      <c r="BD129" s="149">
        <v>1000</v>
      </c>
    </row>
    <row r="130" spans="21:56" hidden="1" x14ac:dyDescent="0.25">
      <c r="U130" s="135" t="s">
        <v>212</v>
      </c>
      <c r="V130" s="87" t="s">
        <v>87</v>
      </c>
      <c r="W130" s="85">
        <v>4</v>
      </c>
      <c r="X130" s="85">
        <v>0.5</v>
      </c>
      <c r="Y130" s="131">
        <v>17</v>
      </c>
      <c r="Z130" s="131">
        <v>53</v>
      </c>
      <c r="AA130" s="140">
        <v>35</v>
      </c>
      <c r="AB130" s="139">
        <v>21</v>
      </c>
      <c r="AC130" s="139">
        <v>60</v>
      </c>
      <c r="AD130" s="139">
        <v>13</v>
      </c>
      <c r="AE130" s="139">
        <v>60</v>
      </c>
      <c r="AF130" s="137">
        <v>30</v>
      </c>
      <c r="AG130" s="131">
        <v>60</v>
      </c>
      <c r="AH130" s="125"/>
      <c r="AI130" s="132"/>
      <c r="AJ130" s="88"/>
      <c r="AS130" s="158" t="s">
        <v>212</v>
      </c>
      <c r="AT130" s="148">
        <v>20</v>
      </c>
      <c r="AU130" s="148">
        <v>1.25</v>
      </c>
      <c r="AV130" s="149">
        <v>364</v>
      </c>
      <c r="AW130" s="149">
        <v>719</v>
      </c>
      <c r="AX130" s="150">
        <v>479</v>
      </c>
      <c r="AY130" s="152" t="s">
        <v>33</v>
      </c>
      <c r="AZ130" s="152" t="s">
        <v>33</v>
      </c>
      <c r="BA130" s="325">
        <v>194.9757281308251</v>
      </c>
      <c r="BB130" s="326">
        <v>974.87864065412543</v>
      </c>
      <c r="BC130" s="151">
        <v>373</v>
      </c>
      <c r="BD130" s="149">
        <v>1000</v>
      </c>
    </row>
    <row r="131" spans="21:56" hidden="1" x14ac:dyDescent="0.25">
      <c r="U131" s="135" t="s">
        <v>213</v>
      </c>
      <c r="V131" s="87" t="s">
        <v>114</v>
      </c>
      <c r="W131" s="85">
        <v>40</v>
      </c>
      <c r="X131" s="85">
        <v>1.5</v>
      </c>
      <c r="Y131" s="131">
        <v>1048</v>
      </c>
      <c r="Z131" s="131">
        <v>1600</v>
      </c>
      <c r="AA131" s="140">
        <v>1600</v>
      </c>
      <c r="AB131" s="138"/>
      <c r="AC131" s="138"/>
      <c r="AD131" s="321">
        <v>634.66970640569411</v>
      </c>
      <c r="AE131" s="322">
        <v>1600.0000000000002</v>
      </c>
      <c r="AF131" s="137">
        <v>636</v>
      </c>
      <c r="AG131" s="131">
        <v>1600</v>
      </c>
      <c r="AH131" s="125"/>
      <c r="AI131" s="132"/>
      <c r="AJ131" s="89"/>
      <c r="AS131" s="158" t="s">
        <v>213</v>
      </c>
      <c r="AT131" s="148">
        <v>20</v>
      </c>
      <c r="AU131" s="148">
        <v>1.375</v>
      </c>
      <c r="AV131" s="149">
        <v>505</v>
      </c>
      <c r="AW131" s="149">
        <v>997</v>
      </c>
      <c r="AX131" s="150">
        <v>665</v>
      </c>
      <c r="AY131" s="152" t="s">
        <v>33</v>
      </c>
      <c r="AZ131" s="152" t="s">
        <v>33</v>
      </c>
      <c r="BA131" s="325">
        <v>283.21933770998896</v>
      </c>
      <c r="BB131" s="326">
        <v>1360</v>
      </c>
      <c r="BC131" s="151">
        <v>532</v>
      </c>
      <c r="BD131" s="149">
        <v>1360</v>
      </c>
    </row>
    <row r="132" spans="21:56" hidden="1" x14ac:dyDescent="0.25">
      <c r="U132" s="135" t="s">
        <v>214</v>
      </c>
      <c r="V132" s="87" t="s">
        <v>115</v>
      </c>
      <c r="W132" s="85">
        <v>40</v>
      </c>
      <c r="X132" s="85">
        <v>1.5</v>
      </c>
      <c r="Y132" s="131">
        <v>1104</v>
      </c>
      <c r="Z132" s="131">
        <v>1600</v>
      </c>
      <c r="AA132" s="140">
        <v>1600</v>
      </c>
      <c r="AB132" s="138"/>
      <c r="AC132" s="138"/>
      <c r="AD132" s="321">
        <v>662.60564946619218</v>
      </c>
      <c r="AE132" s="322">
        <v>1600</v>
      </c>
      <c r="AF132" s="137">
        <v>664</v>
      </c>
      <c r="AG132" s="131">
        <v>1600</v>
      </c>
      <c r="AH132" s="125"/>
      <c r="AI132" s="132"/>
      <c r="AJ132" s="89"/>
      <c r="AS132" s="158" t="s">
        <v>214</v>
      </c>
      <c r="AT132" s="148">
        <v>24</v>
      </c>
      <c r="AU132" s="148">
        <v>1.375</v>
      </c>
      <c r="AV132" s="149">
        <v>556</v>
      </c>
      <c r="AW132" s="149">
        <v>1127</v>
      </c>
      <c r="AX132" s="150">
        <v>751</v>
      </c>
      <c r="AY132" s="152" t="s">
        <v>33</v>
      </c>
      <c r="AZ132" s="152" t="s">
        <v>33</v>
      </c>
      <c r="BA132" s="325">
        <v>306.33928364549826</v>
      </c>
      <c r="BB132" s="326">
        <v>1360</v>
      </c>
      <c r="BC132" s="151">
        <v>567</v>
      </c>
      <c r="BD132" s="149">
        <v>1360</v>
      </c>
    </row>
    <row r="133" spans="21:56" hidden="1" x14ac:dyDescent="0.25">
      <c r="U133" s="135" t="s">
        <v>215</v>
      </c>
      <c r="V133" s="87" t="s">
        <v>116</v>
      </c>
      <c r="W133" s="85">
        <v>44</v>
      </c>
      <c r="X133" s="85">
        <v>1.5</v>
      </c>
      <c r="Y133" s="131">
        <v>1141</v>
      </c>
      <c r="Z133" s="131">
        <v>1600</v>
      </c>
      <c r="AA133" s="140">
        <v>1600</v>
      </c>
      <c r="AB133" s="138"/>
      <c r="AC133" s="138"/>
      <c r="AD133" s="321">
        <v>627.76508411517307</v>
      </c>
      <c r="AE133" s="322">
        <v>1600</v>
      </c>
      <c r="AF133" s="137">
        <v>629</v>
      </c>
      <c r="AG133" s="131">
        <v>1600</v>
      </c>
      <c r="AH133" s="125"/>
      <c r="AI133" s="132"/>
      <c r="AJ133" s="89"/>
      <c r="AS133" s="158" t="s">
        <v>215</v>
      </c>
      <c r="AT133" s="148">
        <v>24</v>
      </c>
      <c r="AU133" s="148">
        <v>1.5</v>
      </c>
      <c r="AV133" s="149">
        <v>593</v>
      </c>
      <c r="AW133" s="149">
        <v>1201</v>
      </c>
      <c r="AX133" s="150">
        <v>801</v>
      </c>
      <c r="AY133" s="152" t="s">
        <v>33</v>
      </c>
      <c r="AZ133" s="152" t="s">
        <v>33</v>
      </c>
      <c r="BA133" s="325">
        <v>326.0846467249192</v>
      </c>
      <c r="BB133" s="326">
        <v>1600</v>
      </c>
      <c r="BC133" s="151">
        <v>604</v>
      </c>
      <c r="BD133" s="149">
        <v>1600</v>
      </c>
    </row>
    <row r="134" spans="21:56" hidden="1" x14ac:dyDescent="0.25">
      <c r="U134" s="135" t="s">
        <v>216</v>
      </c>
      <c r="V134" s="87" t="s">
        <v>117</v>
      </c>
      <c r="W134" s="85">
        <v>44</v>
      </c>
      <c r="X134" s="85">
        <v>1.75</v>
      </c>
      <c r="Y134" s="131">
        <v>1593</v>
      </c>
      <c r="Z134" s="131">
        <v>3000</v>
      </c>
      <c r="AA134" s="140">
        <v>2614</v>
      </c>
      <c r="AB134" s="138"/>
      <c r="AC134" s="138"/>
      <c r="AD134" s="321">
        <v>928.08769513314974</v>
      </c>
      <c r="AE134" s="322">
        <v>3000</v>
      </c>
      <c r="AF134" s="137">
        <v>928</v>
      </c>
      <c r="AG134" s="131">
        <v>2784</v>
      </c>
      <c r="AH134" s="125"/>
      <c r="AI134" s="132"/>
      <c r="AJ134" s="89"/>
      <c r="AS134" s="158" t="s">
        <v>216</v>
      </c>
      <c r="AT134" s="148">
        <v>24</v>
      </c>
      <c r="AU134" s="148">
        <v>1.75</v>
      </c>
      <c r="AV134" s="149">
        <v>1018</v>
      </c>
      <c r="AW134" s="149">
        <v>2064</v>
      </c>
      <c r="AX134" s="150">
        <v>1376</v>
      </c>
      <c r="AY134" s="152" t="s">
        <v>33</v>
      </c>
      <c r="AZ134" s="152" t="s">
        <v>33</v>
      </c>
      <c r="BA134" s="325">
        <v>513.18629994719629</v>
      </c>
      <c r="BB134" s="326">
        <v>2565.9314997359816</v>
      </c>
      <c r="BC134" s="151">
        <v>962</v>
      </c>
      <c r="BD134" s="149">
        <v>2887</v>
      </c>
    </row>
    <row r="135" spans="21:56" hidden="1" x14ac:dyDescent="0.25">
      <c r="U135" s="135" t="s">
        <v>217</v>
      </c>
      <c r="V135" s="87" t="s">
        <v>118</v>
      </c>
      <c r="W135" s="85">
        <v>44</v>
      </c>
      <c r="X135" s="85">
        <v>1.75</v>
      </c>
      <c r="Y135" s="131">
        <v>1668</v>
      </c>
      <c r="Z135" s="131">
        <v>3000</v>
      </c>
      <c r="AA135" s="140">
        <v>2713</v>
      </c>
      <c r="AB135" s="138"/>
      <c r="AC135" s="138"/>
      <c r="AD135" s="321">
        <v>964.12993572084486</v>
      </c>
      <c r="AE135" s="322">
        <v>3000</v>
      </c>
      <c r="AF135" s="137">
        <v>964</v>
      </c>
      <c r="AG135" s="131">
        <v>2892</v>
      </c>
      <c r="AH135" s="125"/>
      <c r="AI135" s="132"/>
      <c r="AJ135" s="89"/>
      <c r="AS135" s="158" t="s">
        <v>217</v>
      </c>
      <c r="AT135" s="148">
        <v>4</v>
      </c>
      <c r="AU135" s="148">
        <v>0.5</v>
      </c>
      <c r="AV135" s="149">
        <v>18</v>
      </c>
      <c r="AW135" s="149">
        <v>28</v>
      </c>
      <c r="AX135" s="150">
        <v>19</v>
      </c>
      <c r="AY135" s="152" t="s">
        <v>33</v>
      </c>
      <c r="AZ135" s="152" t="s">
        <v>33</v>
      </c>
      <c r="BA135" s="327">
        <v>8.426916130204404</v>
      </c>
      <c r="BB135" s="328">
        <v>42.134580651022027</v>
      </c>
      <c r="BC135" s="151">
        <v>16</v>
      </c>
      <c r="BD135" s="149">
        <v>47</v>
      </c>
    </row>
    <row r="136" spans="21:56" hidden="1" x14ac:dyDescent="0.25">
      <c r="U136" s="135" t="s">
        <v>218</v>
      </c>
      <c r="V136" s="87" t="s">
        <v>119</v>
      </c>
      <c r="W136" s="85">
        <v>44</v>
      </c>
      <c r="X136" s="85">
        <v>1.75</v>
      </c>
      <c r="Y136" s="131">
        <v>1744</v>
      </c>
      <c r="Z136" s="131">
        <v>3000</v>
      </c>
      <c r="AA136" s="140">
        <v>2812</v>
      </c>
      <c r="AB136" s="139"/>
      <c r="AC136" s="139"/>
      <c r="AD136" s="139">
        <v>1000.17217630854</v>
      </c>
      <c r="AE136" s="139">
        <v>3000</v>
      </c>
      <c r="AF136" s="137">
        <v>1000</v>
      </c>
      <c r="AG136" s="131">
        <v>3000</v>
      </c>
      <c r="AH136" s="125"/>
      <c r="AI136" s="132"/>
      <c r="AJ136" s="89"/>
      <c r="AS136" s="158" t="s">
        <v>218</v>
      </c>
      <c r="AT136" s="148">
        <v>4</v>
      </c>
      <c r="AU136" s="148">
        <v>0.625</v>
      </c>
      <c r="AV136" s="149">
        <v>32</v>
      </c>
      <c r="AW136" s="149">
        <v>50</v>
      </c>
      <c r="AX136" s="150">
        <v>34</v>
      </c>
      <c r="AY136" s="152" t="s">
        <v>33</v>
      </c>
      <c r="AZ136" s="152" t="s">
        <v>33</v>
      </c>
      <c r="BA136" s="327">
        <v>13.583184208141336</v>
      </c>
      <c r="BB136" s="328">
        <v>67.915921040706678</v>
      </c>
      <c r="BC136" s="151">
        <v>28</v>
      </c>
      <c r="BD136" s="149">
        <v>84</v>
      </c>
    </row>
    <row r="137" spans="21:56" hidden="1" x14ac:dyDescent="0.25">
      <c r="U137" s="135" t="s">
        <v>219</v>
      </c>
      <c r="V137" s="87" t="s">
        <v>120</v>
      </c>
      <c r="W137" s="85">
        <v>48</v>
      </c>
      <c r="X137" s="85">
        <v>1.75</v>
      </c>
      <c r="Y137" s="131">
        <v>1792</v>
      </c>
      <c r="Z137" s="131">
        <v>3000</v>
      </c>
      <c r="AA137" s="140">
        <v>2924</v>
      </c>
      <c r="AB137" s="138"/>
      <c r="AC137" s="138"/>
      <c r="AD137" s="321">
        <v>949.86321548821547</v>
      </c>
      <c r="AE137" s="322">
        <v>3000</v>
      </c>
      <c r="AF137" s="137">
        <v>950</v>
      </c>
      <c r="AG137" s="131">
        <v>2850</v>
      </c>
      <c r="AH137" s="125"/>
      <c r="AI137" s="132"/>
      <c r="AJ137" s="89"/>
      <c r="AS137" s="158" t="s">
        <v>219</v>
      </c>
      <c r="AT137" s="148">
        <v>4</v>
      </c>
      <c r="AU137" s="148">
        <v>0.625</v>
      </c>
      <c r="AV137" s="149">
        <v>42</v>
      </c>
      <c r="AW137" s="149">
        <v>67</v>
      </c>
      <c r="AX137" s="150">
        <v>45</v>
      </c>
      <c r="AY137" s="152" t="s">
        <v>33</v>
      </c>
      <c r="AZ137" s="152" t="s">
        <v>33</v>
      </c>
      <c r="BA137" s="327">
        <v>16.820254256037707</v>
      </c>
      <c r="BB137" s="328">
        <v>84.101271280188527</v>
      </c>
      <c r="BC137" s="151">
        <v>38</v>
      </c>
      <c r="BD137" s="149">
        <v>114</v>
      </c>
    </row>
    <row r="138" spans="21:56" hidden="1" x14ac:dyDescent="0.25">
      <c r="U138" s="135" t="s">
        <v>220</v>
      </c>
      <c r="V138" s="87" t="s">
        <v>121</v>
      </c>
      <c r="W138" s="85">
        <v>48</v>
      </c>
      <c r="X138" s="85">
        <v>1.75</v>
      </c>
      <c r="Y138" s="131">
        <v>1868</v>
      </c>
      <c r="Z138" s="131">
        <v>3000</v>
      </c>
      <c r="AA138" s="140">
        <v>3000</v>
      </c>
      <c r="AB138" s="138"/>
      <c r="AC138" s="138"/>
      <c r="AD138" s="321">
        <v>982.90193602693614</v>
      </c>
      <c r="AE138" s="322">
        <v>3000</v>
      </c>
      <c r="AF138" s="137">
        <v>983</v>
      </c>
      <c r="AG138" s="131">
        <v>2949</v>
      </c>
      <c r="AH138" s="125"/>
      <c r="AI138" s="132"/>
      <c r="AJ138" s="89"/>
      <c r="AS138" s="158" t="s">
        <v>220</v>
      </c>
      <c r="AT138" s="148">
        <v>4</v>
      </c>
      <c r="AU138" s="148">
        <v>0.625</v>
      </c>
      <c r="AV138" s="149">
        <v>64</v>
      </c>
      <c r="AW138" s="149">
        <v>102</v>
      </c>
      <c r="AX138" s="150">
        <v>68</v>
      </c>
      <c r="AY138" s="152" t="s">
        <v>33</v>
      </c>
      <c r="AZ138" s="152" t="s">
        <v>33</v>
      </c>
      <c r="BA138" s="327">
        <v>30.072098613995735</v>
      </c>
      <c r="BB138" s="328">
        <v>120</v>
      </c>
      <c r="BC138" s="151">
        <v>41</v>
      </c>
      <c r="BD138" s="149">
        <v>120</v>
      </c>
    </row>
    <row r="139" spans="21:56" hidden="1" x14ac:dyDescent="0.25">
      <c r="U139" s="135" t="s">
        <v>221</v>
      </c>
      <c r="V139" s="87" t="s">
        <v>122</v>
      </c>
      <c r="W139" s="85">
        <v>52</v>
      </c>
      <c r="X139" s="85">
        <v>1.75</v>
      </c>
      <c r="Y139" s="131">
        <v>1795</v>
      </c>
      <c r="Z139" s="131">
        <v>3000</v>
      </c>
      <c r="AA139" s="140">
        <v>2882</v>
      </c>
      <c r="AB139" s="138"/>
      <c r="AC139" s="138"/>
      <c r="AD139" s="321">
        <v>937.7913752913754</v>
      </c>
      <c r="AE139" s="322">
        <v>3000</v>
      </c>
      <c r="AF139" s="137">
        <v>938</v>
      </c>
      <c r="AG139" s="131">
        <v>2813</v>
      </c>
      <c r="AH139" s="125"/>
      <c r="AI139" s="132"/>
      <c r="AJ139" s="89"/>
      <c r="AS139" s="158" t="s">
        <v>221</v>
      </c>
      <c r="AT139" s="148">
        <v>4</v>
      </c>
      <c r="AU139" s="148">
        <v>0.75</v>
      </c>
      <c r="AV139" s="149">
        <v>95</v>
      </c>
      <c r="AW139" s="149">
        <v>151</v>
      </c>
      <c r="AX139" s="150">
        <v>101</v>
      </c>
      <c r="AY139" s="152" t="s">
        <v>33</v>
      </c>
      <c r="AZ139" s="152" t="s">
        <v>33</v>
      </c>
      <c r="BA139" s="327">
        <v>42.995751235376289</v>
      </c>
      <c r="BB139" s="328">
        <v>199.99999999999997</v>
      </c>
      <c r="BC139" s="151">
        <v>66</v>
      </c>
      <c r="BD139" s="149">
        <v>198</v>
      </c>
    </row>
    <row r="140" spans="21:56" hidden="1" x14ac:dyDescent="0.25">
      <c r="U140" s="135" t="s">
        <v>222</v>
      </c>
      <c r="V140" s="87" t="s">
        <v>123</v>
      </c>
      <c r="W140" s="85">
        <v>36</v>
      </c>
      <c r="X140" s="85">
        <v>0.75</v>
      </c>
      <c r="Y140" s="131">
        <v>172</v>
      </c>
      <c r="Z140" s="131">
        <v>200</v>
      </c>
      <c r="AA140" s="140">
        <v>200</v>
      </c>
      <c r="AB140" s="138"/>
      <c r="AC140" s="138"/>
      <c r="AD140" s="329">
        <v>130.03280850951131</v>
      </c>
      <c r="AE140" s="330">
        <v>200.00000000000003</v>
      </c>
      <c r="AF140" s="137">
        <v>130</v>
      </c>
      <c r="AG140" s="131">
        <v>200</v>
      </c>
      <c r="AH140" s="125"/>
      <c r="AI140" s="132"/>
      <c r="AJ140" s="89"/>
      <c r="AS140" s="158" t="s">
        <v>222</v>
      </c>
      <c r="AT140" s="148">
        <v>8</v>
      </c>
      <c r="AU140" s="148">
        <v>0.625</v>
      </c>
      <c r="AV140" s="149">
        <v>68</v>
      </c>
      <c r="AW140" s="149">
        <v>108</v>
      </c>
      <c r="AX140" s="150">
        <v>72</v>
      </c>
      <c r="AY140" s="152" t="s">
        <v>33</v>
      </c>
      <c r="AZ140" s="152" t="s">
        <v>33</v>
      </c>
      <c r="BA140" s="327">
        <v>27.338271467268854</v>
      </c>
      <c r="BB140" s="328">
        <v>120</v>
      </c>
      <c r="BC140" s="151">
        <v>37</v>
      </c>
      <c r="BD140" s="149">
        <v>112</v>
      </c>
    </row>
    <row r="141" spans="21:56" hidden="1" x14ac:dyDescent="0.25">
      <c r="U141" s="135" t="s">
        <v>223</v>
      </c>
      <c r="V141" s="87" t="s">
        <v>88</v>
      </c>
      <c r="W141" s="85">
        <v>4</v>
      </c>
      <c r="X141" s="85">
        <v>0.5</v>
      </c>
      <c r="Y141" s="131">
        <v>26</v>
      </c>
      <c r="Z141" s="131">
        <v>60</v>
      </c>
      <c r="AA141" s="140">
        <v>60</v>
      </c>
      <c r="AB141" s="139">
        <v>33</v>
      </c>
      <c r="AC141" s="139">
        <v>60</v>
      </c>
      <c r="AD141" s="139">
        <v>24</v>
      </c>
      <c r="AE141" s="139">
        <v>60</v>
      </c>
      <c r="AF141" s="137">
        <v>33</v>
      </c>
      <c r="AG141" s="131">
        <v>60</v>
      </c>
      <c r="AH141" s="125"/>
      <c r="AI141" s="132"/>
      <c r="AJ141" s="88"/>
      <c r="AS141" s="158" t="s">
        <v>223</v>
      </c>
      <c r="AT141" s="148">
        <v>8</v>
      </c>
      <c r="AU141" s="148">
        <v>0.75</v>
      </c>
      <c r="AV141" s="149">
        <v>88</v>
      </c>
      <c r="AW141" s="149">
        <v>141</v>
      </c>
      <c r="AX141" s="150">
        <v>94</v>
      </c>
      <c r="AY141" s="152" t="s">
        <v>33</v>
      </c>
      <c r="AZ141" s="152" t="s">
        <v>33</v>
      </c>
      <c r="BA141" s="327">
        <v>35.352669813523384</v>
      </c>
      <c r="BB141" s="328">
        <v>176.76334906761693</v>
      </c>
      <c r="BC141" s="151">
        <v>48</v>
      </c>
      <c r="BD141" s="149">
        <v>145</v>
      </c>
    </row>
    <row r="142" spans="21:56" hidden="1" x14ac:dyDescent="0.25">
      <c r="U142" s="135" t="s">
        <v>224</v>
      </c>
      <c r="V142" s="87" t="s">
        <v>124</v>
      </c>
      <c r="W142" s="85">
        <v>40</v>
      </c>
      <c r="X142" s="85">
        <v>0.75</v>
      </c>
      <c r="Y142" s="131">
        <v>170</v>
      </c>
      <c r="Z142" s="131">
        <v>200</v>
      </c>
      <c r="AA142" s="140">
        <v>200</v>
      </c>
      <c r="AB142" s="138"/>
      <c r="AC142" s="138"/>
      <c r="AD142" s="329">
        <v>125.69838155919426</v>
      </c>
      <c r="AE142" s="330">
        <v>200</v>
      </c>
      <c r="AF142" s="137">
        <v>126</v>
      </c>
      <c r="AG142" s="131">
        <v>200</v>
      </c>
      <c r="AH142" s="125"/>
      <c r="AI142" s="132"/>
      <c r="AJ142" s="89"/>
      <c r="AS142" s="158" t="s">
        <v>224</v>
      </c>
      <c r="AT142" s="148">
        <v>8</v>
      </c>
      <c r="AU142" s="148">
        <v>0.75</v>
      </c>
      <c r="AV142" s="149">
        <v>130</v>
      </c>
      <c r="AW142" s="149">
        <v>200</v>
      </c>
      <c r="AX142" s="150">
        <v>138</v>
      </c>
      <c r="AY142" s="152" t="s">
        <v>33</v>
      </c>
      <c r="AZ142" s="152" t="s">
        <v>33</v>
      </c>
      <c r="BA142" s="327">
        <v>56.889353722911196</v>
      </c>
      <c r="BB142" s="328">
        <v>200</v>
      </c>
      <c r="BC142" s="151">
        <v>71</v>
      </c>
      <c r="BD142" s="149">
        <v>200</v>
      </c>
    </row>
    <row r="143" spans="21:56" hidden="1" x14ac:dyDescent="0.25">
      <c r="U143" s="135" t="s">
        <v>225</v>
      </c>
      <c r="V143" s="87" t="s">
        <v>125</v>
      </c>
      <c r="W143" s="85">
        <v>44</v>
      </c>
      <c r="X143" s="85">
        <v>0.75</v>
      </c>
      <c r="Y143" s="131">
        <v>169</v>
      </c>
      <c r="Z143" s="131">
        <v>200</v>
      </c>
      <c r="AA143" s="140">
        <v>200</v>
      </c>
      <c r="AB143" s="138"/>
      <c r="AC143" s="138"/>
      <c r="AD143" s="329">
        <v>122.15203223620759</v>
      </c>
      <c r="AE143" s="330">
        <v>200</v>
      </c>
      <c r="AF143" s="137">
        <v>122</v>
      </c>
      <c r="AG143" s="131">
        <v>200</v>
      </c>
      <c r="AH143" s="125"/>
      <c r="AI143" s="132"/>
      <c r="AJ143" s="89"/>
      <c r="AS143" s="158" t="s">
        <v>225</v>
      </c>
      <c r="AT143" s="148">
        <v>8</v>
      </c>
      <c r="AU143" s="148">
        <v>0.875</v>
      </c>
      <c r="AV143" s="149">
        <v>167</v>
      </c>
      <c r="AW143" s="149">
        <v>267</v>
      </c>
      <c r="AX143" s="150">
        <v>178</v>
      </c>
      <c r="AY143" s="152" t="s">
        <v>33</v>
      </c>
      <c r="AZ143" s="152" t="s">
        <v>33</v>
      </c>
      <c r="BA143" s="152" t="s">
        <v>33</v>
      </c>
      <c r="BB143" s="152" t="s">
        <v>33</v>
      </c>
      <c r="BC143" s="151" t="s">
        <v>33</v>
      </c>
      <c r="BD143" s="149" t="s">
        <v>33</v>
      </c>
    </row>
    <row r="144" spans="21:56" hidden="1" x14ac:dyDescent="0.25">
      <c r="U144" s="135" t="s">
        <v>226</v>
      </c>
      <c r="V144" s="87" t="s">
        <v>126</v>
      </c>
      <c r="W144" s="85">
        <v>48</v>
      </c>
      <c r="X144" s="85">
        <v>0.75</v>
      </c>
      <c r="Y144" s="131">
        <v>168</v>
      </c>
      <c r="Z144" s="131">
        <v>200</v>
      </c>
      <c r="AA144" s="140">
        <v>200</v>
      </c>
      <c r="AB144" s="138"/>
      <c r="AC144" s="138"/>
      <c r="AD144" s="329">
        <v>119.1967411337187</v>
      </c>
      <c r="AE144" s="330">
        <v>200.00000000000003</v>
      </c>
      <c r="AF144" s="137">
        <v>119</v>
      </c>
      <c r="AG144" s="131">
        <v>200</v>
      </c>
      <c r="AH144" s="125"/>
      <c r="AI144" s="132"/>
      <c r="AJ144" s="89"/>
      <c r="AS144" s="158" t="s">
        <v>226</v>
      </c>
      <c r="AT144" s="148">
        <v>8</v>
      </c>
      <c r="AU144" s="148">
        <v>0.875</v>
      </c>
      <c r="AV144" s="149">
        <v>212</v>
      </c>
      <c r="AW144" s="149">
        <v>320</v>
      </c>
      <c r="AX144" s="150">
        <v>226</v>
      </c>
      <c r="AY144" s="152" t="s">
        <v>33</v>
      </c>
      <c r="AZ144" s="152" t="s">
        <v>33</v>
      </c>
      <c r="BA144" s="327">
        <v>97.383983192739976</v>
      </c>
      <c r="BB144" s="328">
        <v>320</v>
      </c>
      <c r="BC144" s="151">
        <v>149</v>
      </c>
      <c r="BD144" s="149">
        <v>320</v>
      </c>
    </row>
    <row r="145" spans="21:56" hidden="1" x14ac:dyDescent="0.25">
      <c r="U145" s="135" t="s">
        <v>227</v>
      </c>
      <c r="V145" s="87" t="s">
        <v>127</v>
      </c>
      <c r="W145" s="85">
        <v>40</v>
      </c>
      <c r="X145" s="85">
        <v>0.875</v>
      </c>
      <c r="Y145" s="131">
        <v>273</v>
      </c>
      <c r="Z145" s="131">
        <v>320</v>
      </c>
      <c r="AA145" s="140">
        <v>320</v>
      </c>
      <c r="AB145" s="138"/>
      <c r="AC145" s="138"/>
      <c r="AD145" s="329">
        <v>219.4678638769719</v>
      </c>
      <c r="AE145" s="330">
        <v>319.99999999999994</v>
      </c>
      <c r="AF145" s="137">
        <v>219</v>
      </c>
      <c r="AG145" s="131">
        <v>320</v>
      </c>
      <c r="AH145" s="125"/>
      <c r="AI145" s="132"/>
      <c r="AJ145" s="89"/>
      <c r="AS145" s="158" t="s">
        <v>227</v>
      </c>
      <c r="AT145" s="148">
        <v>8</v>
      </c>
      <c r="AU145" s="148">
        <v>1</v>
      </c>
      <c r="AV145" s="149">
        <v>308</v>
      </c>
      <c r="AW145" s="149">
        <v>490</v>
      </c>
      <c r="AX145" s="150">
        <v>328</v>
      </c>
      <c r="AY145" s="152" t="s">
        <v>33</v>
      </c>
      <c r="AZ145" s="152" t="s">
        <v>33</v>
      </c>
      <c r="BA145" s="327">
        <v>142.97725564308641</v>
      </c>
      <c r="BB145" s="328">
        <v>489.99999999999994</v>
      </c>
      <c r="BC145" s="151">
        <v>221</v>
      </c>
      <c r="BD145" s="149">
        <v>490</v>
      </c>
    </row>
    <row r="146" spans="21:56" hidden="1" x14ac:dyDescent="0.25">
      <c r="U146" s="135" t="s">
        <v>228</v>
      </c>
      <c r="V146" s="87" t="s">
        <v>128</v>
      </c>
      <c r="W146" s="85">
        <v>44</v>
      </c>
      <c r="X146" s="85">
        <v>0.875</v>
      </c>
      <c r="Y146" s="131">
        <v>268</v>
      </c>
      <c r="Z146" s="131">
        <v>320</v>
      </c>
      <c r="AA146" s="140">
        <v>320</v>
      </c>
      <c r="AB146" s="138"/>
      <c r="AC146" s="138"/>
      <c r="AD146" s="329">
        <v>210.8765951842791</v>
      </c>
      <c r="AE146" s="330">
        <v>320</v>
      </c>
      <c r="AF146" s="137">
        <v>211</v>
      </c>
      <c r="AG146" s="131">
        <v>320</v>
      </c>
      <c r="AH146" s="125"/>
      <c r="AI146" s="132"/>
      <c r="AJ146" s="89"/>
      <c r="AS146" s="158" t="s">
        <v>228</v>
      </c>
      <c r="AT146" s="148">
        <v>12</v>
      </c>
      <c r="AU146" s="148">
        <v>1</v>
      </c>
      <c r="AV146" s="149">
        <v>259</v>
      </c>
      <c r="AW146" s="149">
        <v>413</v>
      </c>
      <c r="AX146" s="150">
        <v>275</v>
      </c>
      <c r="AY146" s="152" t="s">
        <v>33</v>
      </c>
      <c r="AZ146" s="152" t="s">
        <v>33</v>
      </c>
      <c r="BA146" s="327">
        <v>123.04697434295745</v>
      </c>
      <c r="BB146" s="328">
        <v>489.99999999999994</v>
      </c>
      <c r="BC146" s="151">
        <v>202</v>
      </c>
      <c r="BD146" s="149">
        <v>490</v>
      </c>
    </row>
    <row r="147" spans="21:56" hidden="1" x14ac:dyDescent="0.25">
      <c r="U147" s="135" t="s">
        <v>229</v>
      </c>
      <c r="V147" s="87" t="s">
        <v>129</v>
      </c>
      <c r="W147" s="85">
        <v>40</v>
      </c>
      <c r="X147" s="85">
        <v>1</v>
      </c>
      <c r="Y147" s="131">
        <v>368</v>
      </c>
      <c r="Z147" s="131">
        <v>490</v>
      </c>
      <c r="AA147" s="140">
        <v>490</v>
      </c>
      <c r="AB147" s="138"/>
      <c r="AC147" s="138"/>
      <c r="AD147" s="329">
        <v>312.61934538353017</v>
      </c>
      <c r="AE147" s="330">
        <v>490</v>
      </c>
      <c r="AF147" s="137">
        <v>314</v>
      </c>
      <c r="AG147" s="131">
        <v>490</v>
      </c>
      <c r="AH147" s="125"/>
      <c r="AI147" s="132"/>
      <c r="AJ147" s="89"/>
      <c r="AS147" s="158" t="s">
        <v>229</v>
      </c>
      <c r="AT147" s="148">
        <v>12</v>
      </c>
      <c r="AU147" s="148">
        <v>1.125</v>
      </c>
      <c r="AV147" s="149">
        <v>385</v>
      </c>
      <c r="AW147" s="149">
        <v>614</v>
      </c>
      <c r="AX147" s="150">
        <v>409</v>
      </c>
      <c r="AY147" s="152" t="s">
        <v>33</v>
      </c>
      <c r="AZ147" s="152" t="s">
        <v>33</v>
      </c>
      <c r="BA147" s="327">
        <v>186.70737589693803</v>
      </c>
      <c r="BB147" s="328">
        <v>710</v>
      </c>
      <c r="BC147" s="151">
        <v>307</v>
      </c>
      <c r="BD147" s="149">
        <v>710</v>
      </c>
    </row>
    <row r="148" spans="21:56" hidden="1" x14ac:dyDescent="0.25">
      <c r="U148" s="135" t="s">
        <v>230</v>
      </c>
      <c r="V148" s="87" t="s">
        <v>130</v>
      </c>
      <c r="W148" s="85">
        <v>44</v>
      </c>
      <c r="X148" s="85">
        <v>1</v>
      </c>
      <c r="Y148" s="131">
        <v>385</v>
      </c>
      <c r="Z148" s="131">
        <v>490</v>
      </c>
      <c r="AA148" s="140">
        <v>490</v>
      </c>
      <c r="AB148" s="139"/>
      <c r="AC148" s="139"/>
      <c r="AD148" s="139">
        <v>353.06867159282399</v>
      </c>
      <c r="AE148" s="139">
        <v>490</v>
      </c>
      <c r="AF148" s="137">
        <v>354</v>
      </c>
      <c r="AG148" s="131">
        <v>490</v>
      </c>
      <c r="AH148" s="125"/>
      <c r="AI148" s="132"/>
      <c r="AJ148" s="89"/>
      <c r="AS148" s="158" t="s">
        <v>230</v>
      </c>
      <c r="AT148" s="148">
        <v>16</v>
      </c>
      <c r="AU148" s="148">
        <v>1.25</v>
      </c>
      <c r="AV148" s="149">
        <v>389</v>
      </c>
      <c r="AW148" s="149">
        <v>621</v>
      </c>
      <c r="AX148" s="150">
        <v>414</v>
      </c>
      <c r="AY148" s="152" t="s">
        <v>33</v>
      </c>
      <c r="AZ148" s="152" t="s">
        <v>33</v>
      </c>
      <c r="BA148" s="327">
        <v>187.65079649086402</v>
      </c>
      <c r="BB148" s="328">
        <v>938.25398245432007</v>
      </c>
      <c r="BC148" s="151">
        <v>346</v>
      </c>
      <c r="BD148" s="149">
        <v>1000</v>
      </c>
    </row>
    <row r="149" spans="21:56" hidden="1" x14ac:dyDescent="0.25">
      <c r="U149" s="135" t="s">
        <v>231</v>
      </c>
      <c r="V149" s="87" t="s">
        <v>131</v>
      </c>
      <c r="W149" s="85">
        <v>48</v>
      </c>
      <c r="X149" s="85">
        <v>1</v>
      </c>
      <c r="Y149" s="131">
        <v>376</v>
      </c>
      <c r="Z149" s="131">
        <v>490</v>
      </c>
      <c r="AA149" s="140">
        <v>490</v>
      </c>
      <c r="AB149" s="138"/>
      <c r="AC149" s="138"/>
      <c r="AD149" s="329">
        <v>288.02662354669241</v>
      </c>
      <c r="AE149" s="330">
        <v>490</v>
      </c>
      <c r="AF149" s="137">
        <v>289</v>
      </c>
      <c r="AG149" s="131">
        <v>490</v>
      </c>
      <c r="AH149" s="125"/>
      <c r="AI149" s="132"/>
      <c r="AJ149" s="89"/>
      <c r="AS149" s="158" t="s">
        <v>231</v>
      </c>
      <c r="AT149" s="148">
        <v>20</v>
      </c>
      <c r="AU149" s="148">
        <v>1.25</v>
      </c>
      <c r="AV149" s="149">
        <v>413</v>
      </c>
      <c r="AW149" s="149">
        <v>659</v>
      </c>
      <c r="AX149" s="150">
        <v>439</v>
      </c>
      <c r="AY149" s="152" t="s">
        <v>33</v>
      </c>
      <c r="AZ149" s="152" t="s">
        <v>33</v>
      </c>
      <c r="BA149" s="327">
        <v>150.59100953193808</v>
      </c>
      <c r="BB149" s="328">
        <v>752.95504765969042</v>
      </c>
      <c r="BC149" s="151">
        <v>365</v>
      </c>
      <c r="BD149" s="149">
        <v>1000</v>
      </c>
    </row>
    <row r="150" spans="21:56" hidden="1" x14ac:dyDescent="0.25">
      <c r="U150" s="135" t="s">
        <v>232</v>
      </c>
      <c r="V150" s="87" t="s">
        <v>132</v>
      </c>
      <c r="W150" s="85">
        <v>52</v>
      </c>
      <c r="X150" s="85">
        <v>1</v>
      </c>
      <c r="Y150" s="131">
        <v>369</v>
      </c>
      <c r="Z150" s="131">
        <v>490</v>
      </c>
      <c r="AA150" s="140">
        <v>490</v>
      </c>
      <c r="AB150" s="138"/>
      <c r="AC150" s="138"/>
      <c r="AD150" s="138">
        <v>327.85243348585493</v>
      </c>
      <c r="AE150" s="138">
        <v>490</v>
      </c>
      <c r="AF150" s="137">
        <v>329</v>
      </c>
      <c r="AG150" s="131">
        <v>490</v>
      </c>
      <c r="AH150" s="125"/>
      <c r="AI150" s="132"/>
      <c r="AJ150" s="89"/>
      <c r="AS150" s="158" t="s">
        <v>232</v>
      </c>
      <c r="AT150" s="148">
        <v>20</v>
      </c>
      <c r="AU150" s="148">
        <v>1.375</v>
      </c>
      <c r="AV150" s="149">
        <v>493</v>
      </c>
      <c r="AW150" s="149">
        <v>786</v>
      </c>
      <c r="AX150" s="150">
        <v>524</v>
      </c>
      <c r="AY150" s="152" t="s">
        <v>33</v>
      </c>
      <c r="AZ150" s="152" t="s">
        <v>33</v>
      </c>
      <c r="BA150" s="327">
        <v>213.28150125507329</v>
      </c>
      <c r="BB150" s="328">
        <v>1066.4075062753664</v>
      </c>
      <c r="BC150" s="151">
        <v>408</v>
      </c>
      <c r="BD150" s="149">
        <v>1224</v>
      </c>
    </row>
    <row r="151" spans="21:56" hidden="1" x14ac:dyDescent="0.25">
      <c r="U151" s="135" t="s">
        <v>233</v>
      </c>
      <c r="V151" s="87" t="s">
        <v>133</v>
      </c>
      <c r="W151" s="85">
        <v>40</v>
      </c>
      <c r="X151" s="85">
        <v>1.125</v>
      </c>
      <c r="Y151" s="131">
        <v>576</v>
      </c>
      <c r="Z151" s="131">
        <v>710</v>
      </c>
      <c r="AA151" s="140">
        <v>710</v>
      </c>
      <c r="AB151" s="138"/>
      <c r="AC151" s="138"/>
      <c r="AD151" s="329">
        <v>509.96696120888419</v>
      </c>
      <c r="AE151" s="330">
        <v>709.99999999999989</v>
      </c>
      <c r="AF151" s="137">
        <v>511</v>
      </c>
      <c r="AG151" s="131">
        <v>710</v>
      </c>
      <c r="AH151" s="125"/>
      <c r="AI151" s="132"/>
      <c r="AJ151" s="89"/>
      <c r="AS151" s="158" t="s">
        <v>233</v>
      </c>
      <c r="AT151" s="148">
        <v>20</v>
      </c>
      <c r="AU151" s="148">
        <v>1.5</v>
      </c>
      <c r="AV151" s="149">
        <v>604</v>
      </c>
      <c r="AW151" s="149">
        <v>964</v>
      </c>
      <c r="AX151" s="150">
        <v>643</v>
      </c>
      <c r="AY151" s="152" t="s">
        <v>33</v>
      </c>
      <c r="AZ151" s="152" t="s">
        <v>33</v>
      </c>
      <c r="BA151" s="327">
        <v>273.91110324893214</v>
      </c>
      <c r="BB151" s="328">
        <v>1369.5555162446606</v>
      </c>
      <c r="BC151" s="151">
        <v>514</v>
      </c>
      <c r="BD151" s="149">
        <v>1543</v>
      </c>
    </row>
    <row r="152" spans="21:56" hidden="1" x14ac:dyDescent="0.25">
      <c r="U152" s="135" t="s">
        <v>234</v>
      </c>
      <c r="V152" s="87" t="s">
        <v>89</v>
      </c>
      <c r="W152" s="85">
        <v>4</v>
      </c>
      <c r="X152" s="85">
        <v>0.5</v>
      </c>
      <c r="Y152" s="131">
        <v>35</v>
      </c>
      <c r="Z152" s="131">
        <v>60</v>
      </c>
      <c r="AA152" s="140">
        <v>60</v>
      </c>
      <c r="AB152" s="139">
        <v>43</v>
      </c>
      <c r="AC152" s="139">
        <v>60</v>
      </c>
      <c r="AD152" s="139">
        <v>31</v>
      </c>
      <c r="AE152" s="139">
        <v>60</v>
      </c>
      <c r="AF152" s="137">
        <v>47</v>
      </c>
      <c r="AG152" s="131">
        <v>60</v>
      </c>
      <c r="AH152" s="125"/>
      <c r="AI152" s="132"/>
      <c r="AJ152" s="88"/>
      <c r="AS152" s="158" t="s">
        <v>234</v>
      </c>
      <c r="AT152" s="148">
        <v>20</v>
      </c>
      <c r="AU152" s="148">
        <v>1.625</v>
      </c>
      <c r="AV152" s="149">
        <v>942</v>
      </c>
      <c r="AW152" s="149">
        <v>1503</v>
      </c>
      <c r="AX152" s="150">
        <v>1002</v>
      </c>
      <c r="AY152" s="152" t="s">
        <v>33</v>
      </c>
      <c r="AZ152" s="152" t="s">
        <v>33</v>
      </c>
      <c r="BA152" s="327">
        <v>408.82779398277887</v>
      </c>
      <c r="BB152" s="328">
        <v>2044.1389699138945</v>
      </c>
      <c r="BC152" s="151">
        <v>757</v>
      </c>
      <c r="BD152" s="149">
        <v>2200</v>
      </c>
    </row>
    <row r="153" spans="21:56" hidden="1" x14ac:dyDescent="0.25">
      <c r="U153" s="135" t="s">
        <v>235</v>
      </c>
      <c r="V153" s="87" t="s">
        <v>134</v>
      </c>
      <c r="W153" s="85">
        <v>44</v>
      </c>
      <c r="X153" s="85">
        <v>1.125</v>
      </c>
      <c r="Y153" s="131">
        <v>572</v>
      </c>
      <c r="Z153" s="131">
        <v>710</v>
      </c>
      <c r="AA153" s="140">
        <v>710</v>
      </c>
      <c r="AB153" s="138"/>
      <c r="AC153" s="138"/>
      <c r="AD153" s="329">
        <v>428.68709850462471</v>
      </c>
      <c r="AE153" s="330">
        <v>710.00000000000011</v>
      </c>
      <c r="AF153" s="137">
        <v>429</v>
      </c>
      <c r="AG153" s="131">
        <v>710</v>
      </c>
      <c r="AH153" s="125"/>
      <c r="AI153" s="132"/>
      <c r="AJ153" s="89"/>
      <c r="AS153" s="158" t="s">
        <v>235</v>
      </c>
      <c r="AT153" s="148">
        <v>24</v>
      </c>
      <c r="AU153" s="148">
        <v>1.625</v>
      </c>
      <c r="AV153" s="149">
        <v>866</v>
      </c>
      <c r="AW153" s="149">
        <v>1381</v>
      </c>
      <c r="AX153" s="150">
        <v>921</v>
      </c>
      <c r="AY153" s="152" t="s">
        <v>33</v>
      </c>
      <c r="AZ153" s="152" t="s">
        <v>33</v>
      </c>
      <c r="BA153" s="327">
        <v>374.9730814831567</v>
      </c>
      <c r="BB153" s="328">
        <v>1874.8654074157835</v>
      </c>
      <c r="BC153" s="151">
        <v>695</v>
      </c>
      <c r="BD153" s="149">
        <v>2085</v>
      </c>
    </row>
    <row r="154" spans="21:56" hidden="1" x14ac:dyDescent="0.25">
      <c r="U154" s="135" t="s">
        <v>236</v>
      </c>
      <c r="V154" s="87" t="s">
        <v>135</v>
      </c>
      <c r="W154" s="85">
        <v>48</v>
      </c>
      <c r="X154" s="85">
        <v>1.125</v>
      </c>
      <c r="Y154" s="131">
        <v>554</v>
      </c>
      <c r="Z154" s="131">
        <v>710</v>
      </c>
      <c r="AA154" s="140">
        <v>710</v>
      </c>
      <c r="AB154" s="138"/>
      <c r="AC154" s="138"/>
      <c r="AD154" s="329">
        <v>460.87773226963515</v>
      </c>
      <c r="AE154" s="330">
        <v>709.99999999999989</v>
      </c>
      <c r="AF154" s="137">
        <v>462</v>
      </c>
      <c r="AG154" s="131">
        <v>710</v>
      </c>
      <c r="AH154" s="125"/>
      <c r="AI154" s="132"/>
      <c r="AJ154" s="89"/>
      <c r="AS154" s="158" t="s">
        <v>236</v>
      </c>
      <c r="AT154" s="148">
        <v>24</v>
      </c>
      <c r="AU154" s="148">
        <v>1.875</v>
      </c>
      <c r="AV154" s="149">
        <v>1482</v>
      </c>
      <c r="AW154" s="149">
        <v>2365</v>
      </c>
      <c r="AX154" s="150">
        <v>1577</v>
      </c>
      <c r="AY154" s="152" t="s">
        <v>33</v>
      </c>
      <c r="AZ154" s="152" t="s">
        <v>33</v>
      </c>
      <c r="BA154" s="327">
        <v>588.02596868949581</v>
      </c>
      <c r="BB154" s="328">
        <v>2940.1298434474788</v>
      </c>
      <c r="BC154" s="151">
        <v>1103</v>
      </c>
      <c r="BD154" s="149">
        <v>3308</v>
      </c>
    </row>
    <row r="155" spans="21:56" hidden="1" x14ac:dyDescent="0.25">
      <c r="U155" s="135" t="s">
        <v>237</v>
      </c>
      <c r="V155" s="87" t="s">
        <v>136</v>
      </c>
      <c r="W155" s="85">
        <v>52</v>
      </c>
      <c r="X155" s="85">
        <v>1.125</v>
      </c>
      <c r="Y155" s="131">
        <v>538</v>
      </c>
      <c r="Z155" s="131">
        <v>710</v>
      </c>
      <c r="AA155" s="140">
        <v>710</v>
      </c>
      <c r="AB155" s="138"/>
      <c r="AC155" s="138"/>
      <c r="AD155" s="329">
        <v>441.99725960069327</v>
      </c>
      <c r="AE155" s="330">
        <v>710.00000000000011</v>
      </c>
      <c r="AF155" s="137">
        <v>443</v>
      </c>
      <c r="AG155" s="131">
        <v>710</v>
      </c>
      <c r="AH155" s="125"/>
      <c r="AI155" s="132"/>
      <c r="AJ155" s="89"/>
      <c r="AS155" s="158" t="s">
        <v>237</v>
      </c>
      <c r="AT155" s="148">
        <v>4</v>
      </c>
      <c r="AU155" s="148">
        <v>0.75</v>
      </c>
      <c r="AV155" s="149">
        <v>24</v>
      </c>
      <c r="AW155" s="149">
        <v>39</v>
      </c>
      <c r="AX155" s="150">
        <v>26</v>
      </c>
      <c r="AY155" s="152" t="s">
        <v>33</v>
      </c>
      <c r="AZ155" s="152" t="s">
        <v>33</v>
      </c>
      <c r="BA155" s="331">
        <v>11.719552234059107</v>
      </c>
      <c r="BB155" s="332">
        <v>100</v>
      </c>
      <c r="BC155" s="151">
        <v>22</v>
      </c>
      <c r="BD155" s="149">
        <v>100</v>
      </c>
    </row>
    <row r="156" spans="21:56" hidden="1" x14ac:dyDescent="0.25">
      <c r="U156" s="135" t="s">
        <v>238</v>
      </c>
      <c r="V156" s="87" t="s">
        <v>137</v>
      </c>
      <c r="W156" s="85">
        <v>56</v>
      </c>
      <c r="X156" s="85">
        <v>1.125</v>
      </c>
      <c r="Y156" s="131">
        <v>526</v>
      </c>
      <c r="Z156" s="131">
        <v>710</v>
      </c>
      <c r="AA156" s="140">
        <v>694</v>
      </c>
      <c r="AB156" s="138"/>
      <c r="AC156" s="138"/>
      <c r="AD156" s="329">
        <v>377.86016550570793</v>
      </c>
      <c r="AE156" s="330">
        <v>710</v>
      </c>
      <c r="AF156" s="137">
        <v>378</v>
      </c>
      <c r="AG156" s="131">
        <v>710</v>
      </c>
      <c r="AH156" s="125"/>
      <c r="AI156" s="132"/>
      <c r="AJ156" s="89"/>
      <c r="AS156" s="158" t="s">
        <v>238</v>
      </c>
      <c r="AT156" s="148">
        <v>4</v>
      </c>
      <c r="AU156" s="148">
        <v>0.75</v>
      </c>
      <c r="AV156" s="149">
        <v>35</v>
      </c>
      <c r="AW156" s="149">
        <v>56</v>
      </c>
      <c r="AX156" s="150">
        <v>37</v>
      </c>
      <c r="AY156" s="152" t="s">
        <v>33</v>
      </c>
      <c r="AZ156" s="152" t="s">
        <v>33</v>
      </c>
      <c r="BA156" s="331">
        <v>15.142401821437915</v>
      </c>
      <c r="BB156" s="332">
        <v>100</v>
      </c>
      <c r="BC156" s="151">
        <v>31</v>
      </c>
      <c r="BD156" s="149">
        <v>100</v>
      </c>
    </row>
    <row r="157" spans="21:56" hidden="1" x14ac:dyDescent="0.25">
      <c r="U157" s="135" t="s">
        <v>239</v>
      </c>
      <c r="V157" s="87" t="s">
        <v>138</v>
      </c>
      <c r="W157" s="85">
        <v>60</v>
      </c>
      <c r="X157" s="85">
        <v>1.125</v>
      </c>
      <c r="Y157" s="131">
        <v>516</v>
      </c>
      <c r="Z157" s="131">
        <v>710</v>
      </c>
      <c r="AA157" s="140">
        <v>671</v>
      </c>
      <c r="AB157" s="138"/>
      <c r="AC157" s="138"/>
      <c r="AD157" s="329">
        <v>321.32718391878211</v>
      </c>
      <c r="AE157" s="330">
        <v>710</v>
      </c>
      <c r="AF157" s="137">
        <v>318</v>
      </c>
      <c r="AG157" s="131">
        <v>710</v>
      </c>
      <c r="AH157" s="125"/>
      <c r="AI157" s="132"/>
      <c r="AJ157" s="89"/>
      <c r="AS157" s="158" t="s">
        <v>239</v>
      </c>
      <c r="AT157" s="148">
        <v>4</v>
      </c>
      <c r="AU157" s="148">
        <v>0.875</v>
      </c>
      <c r="AV157" s="149">
        <v>54</v>
      </c>
      <c r="AW157" s="149">
        <v>86</v>
      </c>
      <c r="AX157" s="150">
        <v>57</v>
      </c>
      <c r="AY157" s="152" t="s">
        <v>33</v>
      </c>
      <c r="AZ157" s="152" t="s">
        <v>33</v>
      </c>
      <c r="BA157" s="331">
        <v>21.624129576576713</v>
      </c>
      <c r="BB157" s="332">
        <v>160</v>
      </c>
      <c r="BC157" s="151">
        <v>49</v>
      </c>
      <c r="BD157" s="149">
        <v>160</v>
      </c>
    </row>
    <row r="158" spans="21:56" hidden="1" x14ac:dyDescent="0.25">
      <c r="U158" s="135" t="s">
        <v>240</v>
      </c>
      <c r="V158" s="87" t="s">
        <v>139</v>
      </c>
      <c r="W158" s="85">
        <v>48</v>
      </c>
      <c r="X158" s="85">
        <v>1.25</v>
      </c>
      <c r="Y158" s="131">
        <v>747</v>
      </c>
      <c r="Z158" s="131">
        <v>1000</v>
      </c>
      <c r="AA158" s="140">
        <v>959</v>
      </c>
      <c r="AB158" s="138"/>
      <c r="AC158" s="138"/>
      <c r="AD158" s="329">
        <v>387.74618229055795</v>
      </c>
      <c r="AE158" s="330">
        <v>1000</v>
      </c>
      <c r="AF158" s="137">
        <v>392</v>
      </c>
      <c r="AG158" s="131">
        <v>1000</v>
      </c>
      <c r="AH158" s="125"/>
      <c r="AI158" s="132"/>
      <c r="AJ158" s="89"/>
      <c r="AS158" s="158" t="s">
        <v>240</v>
      </c>
      <c r="AT158" s="148">
        <v>4</v>
      </c>
      <c r="AU158" s="148">
        <v>0.875</v>
      </c>
      <c r="AV158" s="149">
        <v>82</v>
      </c>
      <c r="AW158" s="149">
        <v>131</v>
      </c>
      <c r="AX158" s="150">
        <v>87</v>
      </c>
      <c r="AY158" s="152" t="s">
        <v>33</v>
      </c>
      <c r="AZ158" s="152" t="s">
        <v>33</v>
      </c>
      <c r="BA158" s="331">
        <v>38.660709117117825</v>
      </c>
      <c r="BB158" s="332">
        <v>193.30354558558912</v>
      </c>
      <c r="BC158" s="151">
        <v>53</v>
      </c>
      <c r="BD158" s="149">
        <v>160</v>
      </c>
    </row>
    <row r="159" spans="21:56" hidden="1" x14ac:dyDescent="0.25">
      <c r="U159" s="135" t="s">
        <v>241</v>
      </c>
      <c r="V159" s="87" t="s">
        <v>140</v>
      </c>
      <c r="W159" s="85">
        <v>52</v>
      </c>
      <c r="X159" s="85">
        <v>1.25</v>
      </c>
      <c r="Y159" s="131">
        <v>763</v>
      </c>
      <c r="Z159" s="131">
        <v>1000</v>
      </c>
      <c r="AA159" s="140">
        <v>1000</v>
      </c>
      <c r="AB159" s="138"/>
      <c r="AC159" s="138"/>
      <c r="AD159" s="329">
        <v>378.91624463197962</v>
      </c>
      <c r="AE159" s="330">
        <v>1000</v>
      </c>
      <c r="AF159" s="137">
        <v>379</v>
      </c>
      <c r="AG159" s="131">
        <v>1000</v>
      </c>
      <c r="AH159" s="125"/>
      <c r="AI159" s="132"/>
      <c r="AJ159" s="89"/>
      <c r="AS159" s="158" t="s">
        <v>241</v>
      </c>
      <c r="AT159" s="148">
        <v>4</v>
      </c>
      <c r="AU159" s="148">
        <v>1</v>
      </c>
      <c r="AV159" s="149">
        <v>127</v>
      </c>
      <c r="AW159" s="149">
        <v>203</v>
      </c>
      <c r="AX159" s="150">
        <v>135</v>
      </c>
      <c r="AY159" s="152" t="s">
        <v>33</v>
      </c>
      <c r="AZ159" s="152" t="s">
        <v>33</v>
      </c>
      <c r="BA159" s="331">
        <v>57.736036912985327</v>
      </c>
      <c r="BB159" s="332">
        <v>288.68018456492661</v>
      </c>
      <c r="BC159" s="151">
        <v>89</v>
      </c>
      <c r="BD159" s="149">
        <v>266</v>
      </c>
    </row>
    <row r="160" spans="21:56" hidden="1" x14ac:dyDescent="0.25">
      <c r="U160" s="135" t="s">
        <v>242</v>
      </c>
      <c r="V160" s="87" t="s">
        <v>141</v>
      </c>
      <c r="W160" s="85">
        <v>4</v>
      </c>
      <c r="X160" s="85">
        <v>0.5</v>
      </c>
      <c r="Y160" s="131">
        <v>12</v>
      </c>
      <c r="Z160" s="131">
        <v>28</v>
      </c>
      <c r="AA160" s="140">
        <v>20</v>
      </c>
      <c r="AB160" s="139">
        <v>11.208753789057868</v>
      </c>
      <c r="AC160" s="139">
        <v>37.362512630192896</v>
      </c>
      <c r="AD160" s="139">
        <v>8.426916130204404</v>
      </c>
      <c r="AE160" s="139">
        <v>42.134580651022027</v>
      </c>
      <c r="AF160" s="137">
        <v>16</v>
      </c>
      <c r="AG160" s="131">
        <v>47</v>
      </c>
      <c r="AH160" s="125"/>
      <c r="AI160" s="132"/>
      <c r="AJ160" s="89"/>
      <c r="AS160" s="158" t="s">
        <v>242</v>
      </c>
      <c r="AT160" s="148">
        <v>8</v>
      </c>
      <c r="AU160" s="148">
        <v>0.875</v>
      </c>
      <c r="AV160" s="149">
        <v>87</v>
      </c>
      <c r="AW160" s="149">
        <v>139</v>
      </c>
      <c r="AX160" s="150">
        <v>93</v>
      </c>
      <c r="AY160" s="152" t="s">
        <v>33</v>
      </c>
      <c r="AZ160" s="152" t="s">
        <v>33</v>
      </c>
      <c r="BA160" s="331">
        <v>35.146099197379847</v>
      </c>
      <c r="BB160" s="332">
        <v>175.73049598689923</v>
      </c>
      <c r="BC160" s="151">
        <v>48</v>
      </c>
      <c r="BD160" s="149">
        <v>160</v>
      </c>
    </row>
    <row r="161" spans="21:56" hidden="1" x14ac:dyDescent="0.25">
      <c r="U161" s="135" t="s">
        <v>243</v>
      </c>
      <c r="V161" s="87" t="s">
        <v>142</v>
      </c>
      <c r="W161" s="85">
        <v>4</v>
      </c>
      <c r="X161" s="85">
        <v>0.625</v>
      </c>
      <c r="Y161" s="131">
        <v>21</v>
      </c>
      <c r="Z161" s="131">
        <v>51</v>
      </c>
      <c r="AA161" s="140">
        <v>34</v>
      </c>
      <c r="AB161" s="138">
        <v>20.20845026860513</v>
      </c>
      <c r="AC161" s="138">
        <v>67.361500895350432</v>
      </c>
      <c r="AD161" s="329">
        <v>13.583184208141336</v>
      </c>
      <c r="AE161" s="330">
        <v>67.915921040706678</v>
      </c>
      <c r="AF161" s="137">
        <v>28</v>
      </c>
      <c r="AG161" s="131">
        <v>84</v>
      </c>
      <c r="AH161" s="125"/>
      <c r="AI161" s="132"/>
      <c r="AJ161" s="89"/>
      <c r="AS161" s="158" t="s">
        <v>243</v>
      </c>
      <c r="AT161" s="148">
        <v>8</v>
      </c>
      <c r="AU161" s="148">
        <v>1</v>
      </c>
      <c r="AV161" s="149">
        <v>119</v>
      </c>
      <c r="AW161" s="149">
        <v>189</v>
      </c>
      <c r="AX161" s="150">
        <v>126</v>
      </c>
      <c r="AY161" s="152" t="s">
        <v>33</v>
      </c>
      <c r="AZ161" s="152" t="s">
        <v>33</v>
      </c>
      <c r="BA161" s="331">
        <v>47.472668593513525</v>
      </c>
      <c r="BB161" s="332">
        <v>245</v>
      </c>
      <c r="BC161" s="151">
        <v>65</v>
      </c>
      <c r="BD161" s="149">
        <v>245</v>
      </c>
    </row>
    <row r="162" spans="21:56" hidden="1" x14ac:dyDescent="0.25">
      <c r="U162" s="135" t="s">
        <v>244</v>
      </c>
      <c r="V162" s="87" t="s">
        <v>143</v>
      </c>
      <c r="W162" s="85">
        <v>4</v>
      </c>
      <c r="X162" s="85">
        <v>0.625</v>
      </c>
      <c r="Y162" s="131">
        <v>28</v>
      </c>
      <c r="Z162" s="131">
        <v>67</v>
      </c>
      <c r="AA162" s="140">
        <v>45</v>
      </c>
      <c r="AB162" s="138">
        <v>26.640161367080676</v>
      </c>
      <c r="AC162" s="138">
        <v>88.800537890268913</v>
      </c>
      <c r="AD162" s="329">
        <v>16.820254256037707</v>
      </c>
      <c r="AE162" s="330">
        <v>84.101271280188527</v>
      </c>
      <c r="AF162" s="137">
        <v>38</v>
      </c>
      <c r="AG162" s="131">
        <v>114</v>
      </c>
      <c r="AH162" s="125"/>
      <c r="AI162" s="132"/>
      <c r="AJ162" s="89"/>
      <c r="AS162" s="158" t="s">
        <v>244</v>
      </c>
      <c r="AT162" s="148">
        <v>8</v>
      </c>
      <c r="AU162" s="148">
        <v>0.875</v>
      </c>
      <c r="AV162" s="149">
        <v>150</v>
      </c>
      <c r="AW162" s="149">
        <v>239</v>
      </c>
      <c r="AX162" s="150">
        <v>159</v>
      </c>
      <c r="AY162" s="152" t="s">
        <v>33</v>
      </c>
      <c r="AZ162" s="152" t="s">
        <v>33</v>
      </c>
      <c r="BA162" s="331">
        <v>65.606051835109042</v>
      </c>
      <c r="BB162" s="332">
        <v>328.03025917554521</v>
      </c>
      <c r="BC162" s="151">
        <v>106</v>
      </c>
      <c r="BD162" s="149">
        <v>319</v>
      </c>
    </row>
    <row r="163" spans="21:56" hidden="1" x14ac:dyDescent="0.25">
      <c r="U163" s="135" t="s">
        <v>245</v>
      </c>
      <c r="V163" s="87" t="s">
        <v>90</v>
      </c>
      <c r="W163" s="85">
        <v>4</v>
      </c>
      <c r="X163" s="85">
        <v>0.625</v>
      </c>
      <c r="Y163" s="131">
        <v>69</v>
      </c>
      <c r="Z163" s="131">
        <v>120</v>
      </c>
      <c r="AA163" s="140">
        <v>120</v>
      </c>
      <c r="AB163" s="139">
        <v>87</v>
      </c>
      <c r="AC163" s="139">
        <v>120</v>
      </c>
      <c r="AD163" s="139">
        <v>55</v>
      </c>
      <c r="AE163" s="139">
        <v>120</v>
      </c>
      <c r="AF163" s="137">
        <v>74</v>
      </c>
      <c r="AG163" s="131">
        <v>120</v>
      </c>
      <c r="AH163" s="125"/>
      <c r="AI163" s="132"/>
      <c r="AJ163" s="88"/>
      <c r="AS163" s="158" t="s">
        <v>245</v>
      </c>
      <c r="AT163" s="148">
        <v>8</v>
      </c>
      <c r="AU163" s="148">
        <v>1.125</v>
      </c>
      <c r="AV163" s="149">
        <v>271</v>
      </c>
      <c r="AW163" s="149">
        <v>432</v>
      </c>
      <c r="AX163" s="150">
        <v>288</v>
      </c>
      <c r="AY163" s="152" t="s">
        <v>33</v>
      </c>
      <c r="AZ163" s="152" t="s">
        <v>33</v>
      </c>
      <c r="BA163" s="331">
        <v>124.35937997943088</v>
      </c>
      <c r="BB163" s="332">
        <v>621.79689989715439</v>
      </c>
      <c r="BC163" s="151">
        <v>191</v>
      </c>
      <c r="BD163" s="149">
        <v>572</v>
      </c>
    </row>
    <row r="164" spans="21:56" hidden="1" x14ac:dyDescent="0.25">
      <c r="U164" s="135" t="s">
        <v>246</v>
      </c>
      <c r="V164" s="87" t="s">
        <v>144</v>
      </c>
      <c r="W164" s="85">
        <v>4</v>
      </c>
      <c r="X164" s="85">
        <v>0.625</v>
      </c>
      <c r="Y164" s="131">
        <v>43</v>
      </c>
      <c r="Z164" s="131">
        <v>102</v>
      </c>
      <c r="AA164" s="140">
        <v>68</v>
      </c>
      <c r="AB164" s="138">
        <v>40.759831814495691</v>
      </c>
      <c r="AC164" s="138">
        <v>119.99999999999999</v>
      </c>
      <c r="AD164" s="329">
        <v>30.072098613995735</v>
      </c>
      <c r="AE164" s="330">
        <v>120</v>
      </c>
      <c r="AF164" s="137">
        <v>41</v>
      </c>
      <c r="AG164" s="131">
        <v>120</v>
      </c>
      <c r="AH164" s="125"/>
      <c r="AI164" s="132"/>
      <c r="AJ164" s="89"/>
      <c r="AS164" s="158" t="s">
        <v>246</v>
      </c>
      <c r="AT164" s="148">
        <v>8</v>
      </c>
      <c r="AU164" s="148">
        <v>1.25</v>
      </c>
      <c r="AV164" s="149">
        <v>373</v>
      </c>
      <c r="AW164" s="149">
        <v>595</v>
      </c>
      <c r="AX164" s="150">
        <v>397</v>
      </c>
      <c r="AY164" s="152" t="s">
        <v>33</v>
      </c>
      <c r="AZ164" s="152" t="s">
        <v>33</v>
      </c>
      <c r="BA164" s="331">
        <v>173.06400970835571</v>
      </c>
      <c r="BB164" s="332">
        <v>865.32004854177853</v>
      </c>
      <c r="BC164" s="151">
        <v>268</v>
      </c>
      <c r="BD164" s="149">
        <v>804</v>
      </c>
    </row>
    <row r="165" spans="21:56" hidden="1" x14ac:dyDescent="0.25">
      <c r="U165" s="135" t="s">
        <v>247</v>
      </c>
      <c r="V165" s="87" t="s">
        <v>145</v>
      </c>
      <c r="W165" s="85">
        <v>4</v>
      </c>
      <c r="X165" s="85">
        <v>0.75</v>
      </c>
      <c r="Y165" s="131">
        <v>64</v>
      </c>
      <c r="Z165" s="131">
        <v>151</v>
      </c>
      <c r="AA165" s="140">
        <v>101</v>
      </c>
      <c r="AB165" s="138">
        <v>60.417143817774239</v>
      </c>
      <c r="AC165" s="138">
        <v>200</v>
      </c>
      <c r="AD165" s="333">
        <v>42.995751235376289</v>
      </c>
      <c r="AE165" s="334">
        <v>199.99999999999997</v>
      </c>
      <c r="AF165" s="137">
        <v>66</v>
      </c>
      <c r="AG165" s="131">
        <v>198</v>
      </c>
      <c r="AH165" s="125"/>
      <c r="AI165" s="132"/>
      <c r="AJ165" s="89"/>
      <c r="AS165" s="158" t="s">
        <v>247</v>
      </c>
      <c r="AT165" s="148">
        <v>12</v>
      </c>
      <c r="AU165" s="148">
        <v>1.125</v>
      </c>
      <c r="AV165" s="149">
        <v>284</v>
      </c>
      <c r="AW165" s="149">
        <v>453</v>
      </c>
      <c r="AX165" s="150">
        <v>302</v>
      </c>
      <c r="AY165" s="152" t="s">
        <v>33</v>
      </c>
      <c r="AZ165" s="152" t="s">
        <v>33</v>
      </c>
      <c r="BA165" s="331">
        <v>134.94395277166515</v>
      </c>
      <c r="BB165" s="332">
        <v>674.71976385832579</v>
      </c>
      <c r="BC165" s="151">
        <v>221</v>
      </c>
      <c r="BD165" s="149">
        <v>664</v>
      </c>
    </row>
    <row r="166" spans="21:56" hidden="1" x14ac:dyDescent="0.25">
      <c r="U166" s="135" t="s">
        <v>248</v>
      </c>
      <c r="V166" s="87" t="s">
        <v>146</v>
      </c>
      <c r="W166" s="85">
        <v>8</v>
      </c>
      <c r="X166" s="85">
        <v>0.625</v>
      </c>
      <c r="Y166" s="131">
        <v>46</v>
      </c>
      <c r="Z166" s="131">
        <v>108</v>
      </c>
      <c r="AA166" s="140">
        <v>72</v>
      </c>
      <c r="AB166" s="138">
        <v>43.391304472849122</v>
      </c>
      <c r="AC166" s="138">
        <v>120</v>
      </c>
      <c r="AD166" s="333">
        <v>27.338271467268854</v>
      </c>
      <c r="AE166" s="334">
        <v>120</v>
      </c>
      <c r="AF166" s="137">
        <v>37</v>
      </c>
      <c r="AG166" s="131">
        <v>112</v>
      </c>
      <c r="AH166" s="125"/>
      <c r="AI166" s="132"/>
      <c r="AJ166" s="89"/>
      <c r="AS166" s="158" t="s">
        <v>248</v>
      </c>
      <c r="AT166" s="148">
        <v>12</v>
      </c>
      <c r="AU166" s="148">
        <v>1.375</v>
      </c>
      <c r="AV166" s="149">
        <v>464</v>
      </c>
      <c r="AW166" s="149">
        <v>741</v>
      </c>
      <c r="AX166" s="150">
        <v>494</v>
      </c>
      <c r="AY166" s="152" t="s">
        <v>33</v>
      </c>
      <c r="AZ166" s="152" t="s">
        <v>33</v>
      </c>
      <c r="BA166" s="331">
        <v>225.41947287121567</v>
      </c>
      <c r="BB166" s="332">
        <v>1127.0973643560783</v>
      </c>
      <c r="BC166" s="151">
        <v>333</v>
      </c>
      <c r="BD166" s="149">
        <v>1000</v>
      </c>
    </row>
    <row r="167" spans="21:56" hidden="1" x14ac:dyDescent="0.25">
      <c r="U167" s="135" t="s">
        <v>249</v>
      </c>
      <c r="V167" s="87" t="s">
        <v>147</v>
      </c>
      <c r="W167" s="85">
        <v>8</v>
      </c>
      <c r="X167" s="85">
        <v>0.75</v>
      </c>
      <c r="Y167" s="131">
        <v>60</v>
      </c>
      <c r="Z167" s="131">
        <v>141</v>
      </c>
      <c r="AA167" s="140">
        <v>94</v>
      </c>
      <c r="AB167" s="138">
        <v>56.434238893127898</v>
      </c>
      <c r="AC167" s="138">
        <v>188.11412964375967</v>
      </c>
      <c r="AD167" s="333">
        <v>35.352669813523384</v>
      </c>
      <c r="AE167" s="334">
        <v>176.76334906761693</v>
      </c>
      <c r="AF167" s="137">
        <v>48</v>
      </c>
      <c r="AG167" s="131">
        <v>145</v>
      </c>
      <c r="AH167" s="125"/>
      <c r="AI167" s="132"/>
      <c r="AJ167" s="89"/>
      <c r="AS167" s="158" t="s">
        <v>249</v>
      </c>
      <c r="AT167" s="148">
        <v>16</v>
      </c>
      <c r="AU167" s="148">
        <v>1.375</v>
      </c>
      <c r="AV167" s="149">
        <v>425</v>
      </c>
      <c r="AW167" s="149">
        <v>679</v>
      </c>
      <c r="AX167" s="150">
        <v>453</v>
      </c>
      <c r="AY167" s="152" t="s">
        <v>33</v>
      </c>
      <c r="AZ167" s="152" t="s">
        <v>33</v>
      </c>
      <c r="BA167" s="331">
        <v>205.26885049213615</v>
      </c>
      <c r="BB167" s="332">
        <v>1026.3442524606808</v>
      </c>
      <c r="BC167" s="151">
        <v>306</v>
      </c>
      <c r="BD167" s="149">
        <v>919</v>
      </c>
    </row>
    <row r="168" spans="21:56" hidden="1" x14ac:dyDescent="0.25">
      <c r="U168" s="135" t="s">
        <v>250</v>
      </c>
      <c r="V168" s="87" t="s">
        <v>148</v>
      </c>
      <c r="W168" s="85">
        <v>8</v>
      </c>
      <c r="X168" s="85">
        <v>0.75</v>
      </c>
      <c r="Y168" s="131">
        <v>88</v>
      </c>
      <c r="Z168" s="131">
        <v>200</v>
      </c>
      <c r="AA168" s="140">
        <v>138</v>
      </c>
      <c r="AB168" s="138">
        <v>82.895915424813452</v>
      </c>
      <c r="AC168" s="138">
        <v>199.99999999999997</v>
      </c>
      <c r="AD168" s="333">
        <v>56.889353722911196</v>
      </c>
      <c r="AE168" s="334">
        <v>200</v>
      </c>
      <c r="AF168" s="137">
        <v>71</v>
      </c>
      <c r="AG168" s="131">
        <v>200</v>
      </c>
      <c r="AH168" s="125"/>
      <c r="AI168" s="132"/>
      <c r="AJ168" s="89"/>
      <c r="AS168" s="158" t="s">
        <v>250</v>
      </c>
      <c r="AT168" s="148">
        <v>20</v>
      </c>
      <c r="AU168" s="148">
        <v>1.375</v>
      </c>
      <c r="AV168" s="149">
        <v>452</v>
      </c>
      <c r="AW168" s="149">
        <v>721</v>
      </c>
      <c r="AX168" s="150">
        <v>481</v>
      </c>
      <c r="AY168" s="152" t="s">
        <v>33</v>
      </c>
      <c r="AZ168" s="152" t="s">
        <v>33</v>
      </c>
      <c r="BA168" s="331">
        <v>164.72961479050377</v>
      </c>
      <c r="BB168" s="332">
        <v>823.64807395251887</v>
      </c>
      <c r="BC168" s="151">
        <v>368</v>
      </c>
      <c r="BD168" s="149">
        <v>1103</v>
      </c>
    </row>
    <row r="169" spans="21:56" hidden="1" x14ac:dyDescent="0.25">
      <c r="U169" s="135" t="s">
        <v>251</v>
      </c>
      <c r="V169" s="87" t="s">
        <v>149</v>
      </c>
      <c r="W169" s="85">
        <v>8</v>
      </c>
      <c r="X169" s="85">
        <v>0.75</v>
      </c>
      <c r="Y169" s="131">
        <v>99</v>
      </c>
      <c r="Z169" s="131">
        <v>200</v>
      </c>
      <c r="AA169" s="140">
        <v>154</v>
      </c>
      <c r="AB169" s="138" t="s">
        <v>33</v>
      </c>
      <c r="AC169" s="138" t="s">
        <v>33</v>
      </c>
      <c r="AD169" s="333" t="s">
        <v>33</v>
      </c>
      <c r="AE169" s="334" t="s">
        <v>33</v>
      </c>
      <c r="AF169" s="137" t="s">
        <v>33</v>
      </c>
      <c r="AG169" s="131" t="s">
        <v>33</v>
      </c>
      <c r="AH169" s="125"/>
      <c r="AI169" s="132"/>
      <c r="AJ169" s="89"/>
      <c r="AS169" s="158" t="s">
        <v>251</v>
      </c>
      <c r="AT169" s="148">
        <v>20</v>
      </c>
      <c r="AU169" s="148">
        <v>1.5</v>
      </c>
      <c r="AV169" s="149">
        <v>487</v>
      </c>
      <c r="AW169" s="149">
        <v>761</v>
      </c>
      <c r="AX169" s="150">
        <v>507</v>
      </c>
      <c r="AY169" s="152" t="s">
        <v>33</v>
      </c>
      <c r="AZ169" s="152" t="s">
        <v>33</v>
      </c>
      <c r="BA169" s="331">
        <v>206.27183081399176</v>
      </c>
      <c r="BB169" s="332">
        <v>1031.3591540699588</v>
      </c>
      <c r="BC169" s="151">
        <v>388</v>
      </c>
      <c r="BD169" s="149">
        <v>1164</v>
      </c>
    </row>
    <row r="170" spans="21:56" hidden="1" x14ac:dyDescent="0.25">
      <c r="U170" s="135" t="s">
        <v>252</v>
      </c>
      <c r="V170" s="87" t="s">
        <v>150</v>
      </c>
      <c r="W170" s="85">
        <v>8</v>
      </c>
      <c r="X170" s="85">
        <v>0.75</v>
      </c>
      <c r="Y170" s="131">
        <v>125</v>
      </c>
      <c r="Z170" s="131">
        <v>200</v>
      </c>
      <c r="AA170" s="140">
        <v>196</v>
      </c>
      <c r="AB170" s="138">
        <v>117.45928609068415</v>
      </c>
      <c r="AC170" s="138">
        <v>200</v>
      </c>
      <c r="AD170" s="333">
        <v>84.445134432446309</v>
      </c>
      <c r="AE170" s="334">
        <v>200</v>
      </c>
      <c r="AF170" s="137">
        <v>103</v>
      </c>
      <c r="AG170" s="131">
        <v>200</v>
      </c>
      <c r="AH170" s="125"/>
      <c r="AI170" s="132"/>
      <c r="AJ170" s="89"/>
      <c r="AS170" s="158" t="s">
        <v>252</v>
      </c>
      <c r="AT170" s="148">
        <v>20</v>
      </c>
      <c r="AU170" s="148">
        <v>1.625</v>
      </c>
      <c r="AV170" s="149">
        <v>709</v>
      </c>
      <c r="AW170" s="149">
        <v>1108</v>
      </c>
      <c r="AX170" s="150">
        <v>739</v>
      </c>
      <c r="AY170" s="152" t="s">
        <v>33</v>
      </c>
      <c r="AZ170" s="152" t="s">
        <v>33</v>
      </c>
      <c r="BA170" s="331">
        <v>314.97738844585166</v>
      </c>
      <c r="BB170" s="332">
        <v>1574.8869422292582</v>
      </c>
      <c r="BC170" s="151">
        <v>514</v>
      </c>
      <c r="BD170" s="149">
        <v>1541</v>
      </c>
    </row>
    <row r="171" spans="21:56" hidden="1" x14ac:dyDescent="0.25">
      <c r="U171" s="135" t="s">
        <v>253</v>
      </c>
      <c r="V171" s="87" t="s">
        <v>151</v>
      </c>
      <c r="W171" s="85">
        <v>8</v>
      </c>
      <c r="X171" s="85">
        <v>0.75</v>
      </c>
      <c r="Y171" s="131">
        <v>156</v>
      </c>
      <c r="Z171" s="131">
        <v>200</v>
      </c>
      <c r="AA171" s="140">
        <v>200</v>
      </c>
      <c r="AB171" s="138">
        <v>146.43319648277344</v>
      </c>
      <c r="AC171" s="138">
        <v>200</v>
      </c>
      <c r="AD171" s="333">
        <v>106.47448014507448</v>
      </c>
      <c r="AE171" s="334">
        <v>200</v>
      </c>
      <c r="AF171" s="137">
        <v>124</v>
      </c>
      <c r="AG171" s="131">
        <v>200</v>
      </c>
      <c r="AH171" s="125"/>
      <c r="AI171" s="132"/>
      <c r="AJ171" s="89"/>
      <c r="AS171" s="158" t="s">
        <v>253</v>
      </c>
      <c r="AT171" s="148">
        <v>20</v>
      </c>
      <c r="AU171" s="148">
        <v>1.875</v>
      </c>
      <c r="AV171" s="149">
        <v>1249</v>
      </c>
      <c r="AW171" s="149">
        <v>1993</v>
      </c>
      <c r="AX171" s="150">
        <v>1329</v>
      </c>
      <c r="AY171" s="152" t="s">
        <v>33</v>
      </c>
      <c r="AZ171" s="152" t="s">
        <v>33</v>
      </c>
      <c r="BA171" s="331">
        <v>542.00654505292664</v>
      </c>
      <c r="BB171" s="332">
        <v>2710.0327252646334</v>
      </c>
      <c r="BC171" s="151">
        <v>991</v>
      </c>
      <c r="BD171" s="149">
        <v>2972</v>
      </c>
    </row>
    <row r="172" spans="21:56" hidden="1" x14ac:dyDescent="0.25">
      <c r="U172" s="135" t="s">
        <v>254</v>
      </c>
      <c r="V172" s="87" t="s">
        <v>152</v>
      </c>
      <c r="W172" s="85">
        <v>12</v>
      </c>
      <c r="X172" s="85">
        <v>0.75</v>
      </c>
      <c r="Y172" s="131">
        <v>131</v>
      </c>
      <c r="Z172" s="131">
        <v>200</v>
      </c>
      <c r="AA172" s="140">
        <v>200</v>
      </c>
      <c r="AB172" s="139">
        <v>123.20868671893211</v>
      </c>
      <c r="AC172" s="139">
        <v>200</v>
      </c>
      <c r="AD172" s="139">
        <v>91.632494746546243</v>
      </c>
      <c r="AE172" s="139">
        <v>200</v>
      </c>
      <c r="AF172" s="137">
        <v>118</v>
      </c>
      <c r="AG172" s="131">
        <v>200</v>
      </c>
      <c r="AH172" s="125"/>
      <c r="AI172" s="132"/>
      <c r="AJ172" s="89"/>
      <c r="AS172" s="158" t="s">
        <v>254</v>
      </c>
      <c r="AT172" s="148">
        <v>20</v>
      </c>
      <c r="AU172" s="148">
        <v>2</v>
      </c>
      <c r="AV172" s="149">
        <v>1316</v>
      </c>
      <c r="AW172" s="149">
        <v>2100</v>
      </c>
      <c r="AX172" s="150">
        <v>1400</v>
      </c>
      <c r="AY172" s="152" t="s">
        <v>33</v>
      </c>
      <c r="AZ172" s="152" t="s">
        <v>33</v>
      </c>
      <c r="BA172" s="331">
        <v>570.09482071647358</v>
      </c>
      <c r="BB172" s="332">
        <v>2850.4741035823677</v>
      </c>
      <c r="BC172" s="151">
        <v>934</v>
      </c>
      <c r="BD172" s="149">
        <v>2802</v>
      </c>
    </row>
    <row r="173" spans="21:56" hidden="1" x14ac:dyDescent="0.25">
      <c r="U173" s="135" t="s">
        <v>255</v>
      </c>
      <c r="V173" s="87" t="s">
        <v>153</v>
      </c>
      <c r="W173" s="85">
        <v>12</v>
      </c>
      <c r="X173" s="85">
        <v>0.875</v>
      </c>
      <c r="Y173" s="131">
        <v>205</v>
      </c>
      <c r="Z173" s="131">
        <v>320</v>
      </c>
      <c r="AA173" s="140">
        <v>320</v>
      </c>
      <c r="AB173" s="138">
        <v>192.34444758971395</v>
      </c>
      <c r="AC173" s="138">
        <v>320</v>
      </c>
      <c r="AD173" s="333">
        <v>146.20777266110017</v>
      </c>
      <c r="AE173" s="334">
        <v>320</v>
      </c>
      <c r="AF173" s="137">
        <v>194</v>
      </c>
      <c r="AG173" s="131">
        <v>320</v>
      </c>
      <c r="AH173" s="125"/>
      <c r="AI173" s="132"/>
      <c r="AJ173" s="89"/>
      <c r="AS173" s="158" t="s">
        <v>255</v>
      </c>
      <c r="AT173" s="148">
        <v>20</v>
      </c>
      <c r="AU173" s="148">
        <v>2.5</v>
      </c>
      <c r="AV173" s="149">
        <v>2100</v>
      </c>
      <c r="AW173" s="149">
        <v>3351</v>
      </c>
      <c r="AX173" s="150">
        <v>2234</v>
      </c>
      <c r="AY173" s="152" t="s">
        <v>33</v>
      </c>
      <c r="AZ173" s="152" t="s">
        <v>33</v>
      </c>
      <c r="BA173" s="331">
        <v>833.3418537073577</v>
      </c>
      <c r="BB173" s="332">
        <v>4400</v>
      </c>
      <c r="BC173" s="151">
        <v>1382</v>
      </c>
      <c r="BD173" s="149">
        <v>4400</v>
      </c>
    </row>
    <row r="174" spans="21:56" hidden="1" x14ac:dyDescent="0.25">
      <c r="U174" s="135" t="s">
        <v>256</v>
      </c>
      <c r="V174" s="87" t="s">
        <v>91</v>
      </c>
      <c r="W174" s="85">
        <v>4</v>
      </c>
      <c r="X174" s="85">
        <v>0.625</v>
      </c>
      <c r="Y174" s="131">
        <v>81</v>
      </c>
      <c r="Z174" s="131">
        <v>120</v>
      </c>
      <c r="AA174" s="140">
        <v>120</v>
      </c>
      <c r="AB174" s="139">
        <v>101</v>
      </c>
      <c r="AC174" s="139">
        <v>120</v>
      </c>
      <c r="AD174" s="139">
        <v>63</v>
      </c>
      <c r="AE174" s="139">
        <v>120</v>
      </c>
      <c r="AF174" s="137">
        <v>87</v>
      </c>
      <c r="AG174" s="131">
        <v>120</v>
      </c>
      <c r="AH174" s="125"/>
      <c r="AI174" s="132"/>
      <c r="AJ174" s="88"/>
      <c r="AS174" s="158" t="s">
        <v>256</v>
      </c>
      <c r="AT174" s="148">
        <v>4</v>
      </c>
      <c r="AU174" s="148">
        <v>0.75</v>
      </c>
      <c r="AV174" s="148" t="s">
        <v>33</v>
      </c>
      <c r="AW174" s="148" t="s">
        <v>33</v>
      </c>
      <c r="AX174" s="147" t="s">
        <v>33</v>
      </c>
      <c r="AY174" s="152" t="s">
        <v>33</v>
      </c>
      <c r="AZ174" s="152" t="s">
        <v>33</v>
      </c>
      <c r="BA174" s="335">
        <v>19.532587056765177</v>
      </c>
      <c r="BB174" s="336">
        <v>100</v>
      </c>
      <c r="BC174" s="151">
        <v>22</v>
      </c>
      <c r="BD174" s="149">
        <v>100</v>
      </c>
    </row>
    <row r="175" spans="21:56" hidden="1" x14ac:dyDescent="0.25">
      <c r="U175" s="135" t="s">
        <v>257</v>
      </c>
      <c r="V175" s="87" t="s">
        <v>154</v>
      </c>
      <c r="W175" s="85">
        <v>16</v>
      </c>
      <c r="X175" s="85">
        <v>1</v>
      </c>
      <c r="Y175" s="131">
        <v>219</v>
      </c>
      <c r="Z175" s="131">
        <v>490</v>
      </c>
      <c r="AA175" s="140">
        <v>341</v>
      </c>
      <c r="AB175" s="138">
        <v>205.16923438116194</v>
      </c>
      <c r="AC175" s="138">
        <v>489.99999999999994</v>
      </c>
      <c r="AD175" s="333">
        <v>155.02816528240692</v>
      </c>
      <c r="AE175" s="334">
        <v>490.00000000000006</v>
      </c>
      <c r="AF175" s="137">
        <v>206</v>
      </c>
      <c r="AG175" s="131">
        <v>490</v>
      </c>
      <c r="AH175" s="125"/>
      <c r="AI175" s="132"/>
      <c r="AJ175" s="89"/>
      <c r="AS175" s="158" t="s">
        <v>257</v>
      </c>
      <c r="AT175" s="148">
        <v>4</v>
      </c>
      <c r="AU175" s="148">
        <v>0.75</v>
      </c>
      <c r="AV175" s="148" t="s">
        <v>33</v>
      </c>
      <c r="AW175" s="148" t="s">
        <v>33</v>
      </c>
      <c r="AX175" s="147" t="s">
        <v>33</v>
      </c>
      <c r="AY175" s="152" t="s">
        <v>33</v>
      </c>
      <c r="AZ175" s="152" t="s">
        <v>33</v>
      </c>
      <c r="BA175" s="335">
        <v>25.23733636906319</v>
      </c>
      <c r="BB175" s="336">
        <v>100</v>
      </c>
      <c r="BC175" s="151">
        <v>31</v>
      </c>
      <c r="BD175" s="149">
        <v>100</v>
      </c>
    </row>
    <row r="176" spans="21:56" hidden="1" x14ac:dyDescent="0.25">
      <c r="U176" s="135" t="s">
        <v>258</v>
      </c>
      <c r="V176" s="87" t="s">
        <v>155</v>
      </c>
      <c r="W176" s="85">
        <v>16</v>
      </c>
      <c r="X176" s="85">
        <v>1.125</v>
      </c>
      <c r="Y176" s="131">
        <v>319</v>
      </c>
      <c r="Z176" s="131">
        <v>710</v>
      </c>
      <c r="AA176" s="140">
        <v>498</v>
      </c>
      <c r="AB176" s="138">
        <v>298.9113277580787</v>
      </c>
      <c r="AC176" s="138">
        <v>710</v>
      </c>
      <c r="AD176" s="333">
        <v>170.55000682893379</v>
      </c>
      <c r="AE176" s="334">
        <v>710</v>
      </c>
      <c r="AF176" s="137">
        <v>309</v>
      </c>
      <c r="AG176" s="131">
        <v>710</v>
      </c>
      <c r="AH176" s="125"/>
      <c r="AI176" s="132"/>
      <c r="AJ176" s="89"/>
      <c r="AS176" s="158" t="s">
        <v>258</v>
      </c>
      <c r="AT176" s="148">
        <v>4</v>
      </c>
      <c r="AU176" s="148">
        <v>0.875</v>
      </c>
      <c r="AV176" s="148" t="s">
        <v>33</v>
      </c>
      <c r="AW176" s="148" t="s">
        <v>33</v>
      </c>
      <c r="AX176" s="147" t="s">
        <v>33</v>
      </c>
      <c r="AY176" s="152" t="s">
        <v>33</v>
      </c>
      <c r="AZ176" s="152" t="s">
        <v>33</v>
      </c>
      <c r="BA176" s="335">
        <v>36.040215960961191</v>
      </c>
      <c r="BB176" s="336">
        <v>160</v>
      </c>
      <c r="BC176" s="151">
        <v>49</v>
      </c>
      <c r="BD176" s="149">
        <v>160</v>
      </c>
    </row>
    <row r="177" spans="21:56" hidden="1" x14ac:dyDescent="0.25">
      <c r="U177" s="135" t="s">
        <v>259</v>
      </c>
      <c r="V177" s="87" t="s">
        <v>156</v>
      </c>
      <c r="W177" s="85">
        <v>20</v>
      </c>
      <c r="X177" s="85">
        <v>1.125</v>
      </c>
      <c r="Y177" s="131">
        <v>287</v>
      </c>
      <c r="Z177" s="131">
        <v>652</v>
      </c>
      <c r="AA177" s="140">
        <v>435</v>
      </c>
      <c r="AB177" s="138">
        <v>260.67222096380198</v>
      </c>
      <c r="AC177" s="138">
        <v>710</v>
      </c>
      <c r="AD177" s="333">
        <v>176.65390181017986</v>
      </c>
      <c r="AE177" s="334">
        <v>710</v>
      </c>
      <c r="AF177" s="137">
        <v>269</v>
      </c>
      <c r="AG177" s="131">
        <v>710</v>
      </c>
      <c r="AH177" s="125"/>
      <c r="AI177" s="132"/>
      <c r="AJ177" s="89"/>
      <c r="AS177" s="158" t="s">
        <v>259</v>
      </c>
      <c r="AT177" s="148">
        <v>4</v>
      </c>
      <c r="AU177" s="148">
        <v>0.875</v>
      </c>
      <c r="AV177" s="148" t="s">
        <v>33</v>
      </c>
      <c r="AW177" s="148" t="s">
        <v>33</v>
      </c>
      <c r="AX177" s="147" t="s">
        <v>33</v>
      </c>
      <c r="AY177" s="152" t="s">
        <v>33</v>
      </c>
      <c r="AZ177" s="152" t="s">
        <v>33</v>
      </c>
      <c r="BA177" s="335">
        <v>64.434515195196383</v>
      </c>
      <c r="BB177" s="336">
        <v>193.30354558558912</v>
      </c>
      <c r="BC177" s="151">
        <v>80</v>
      </c>
      <c r="BD177" s="149">
        <v>240</v>
      </c>
    </row>
    <row r="178" spans="21:56" hidden="1" x14ac:dyDescent="0.25">
      <c r="U178" s="135" t="s">
        <v>260</v>
      </c>
      <c r="V178" s="87" t="s">
        <v>157</v>
      </c>
      <c r="W178" s="85">
        <v>20</v>
      </c>
      <c r="X178" s="85">
        <v>1.25</v>
      </c>
      <c r="Y178" s="131">
        <v>401</v>
      </c>
      <c r="Z178" s="131">
        <v>912</v>
      </c>
      <c r="AA178" s="140">
        <v>608</v>
      </c>
      <c r="AB178" s="138">
        <v>364.58875991942909</v>
      </c>
      <c r="AC178" s="138">
        <v>1000</v>
      </c>
      <c r="AD178" s="333">
        <v>258.91085849350759</v>
      </c>
      <c r="AE178" s="334">
        <v>1000</v>
      </c>
      <c r="AF178" s="137">
        <v>399</v>
      </c>
      <c r="AG178" s="131">
        <v>1000</v>
      </c>
      <c r="AH178" s="125"/>
      <c r="AI178" s="132"/>
      <c r="AJ178" s="89"/>
      <c r="AS178" s="158" t="s">
        <v>260</v>
      </c>
      <c r="AT178" s="148">
        <v>4</v>
      </c>
      <c r="AU178" s="148">
        <v>1</v>
      </c>
      <c r="AV178" s="148" t="s">
        <v>33</v>
      </c>
      <c r="AW178" s="148" t="s">
        <v>33</v>
      </c>
      <c r="AX178" s="147" t="s">
        <v>33</v>
      </c>
      <c r="AY178" s="152" t="s">
        <v>33</v>
      </c>
      <c r="AZ178" s="152" t="s">
        <v>33</v>
      </c>
      <c r="BA178" s="335">
        <v>96.226728188308869</v>
      </c>
      <c r="BB178" s="336">
        <v>288.68018456492661</v>
      </c>
      <c r="BC178" s="151">
        <v>118</v>
      </c>
      <c r="BD178" s="149">
        <v>353</v>
      </c>
    </row>
    <row r="179" spans="21:56" hidden="1" x14ac:dyDescent="0.25">
      <c r="U179" s="135" t="s">
        <v>261</v>
      </c>
      <c r="V179" s="87" t="s">
        <v>158</v>
      </c>
      <c r="W179" s="85">
        <v>24</v>
      </c>
      <c r="X179" s="85">
        <v>1.25</v>
      </c>
      <c r="Y179" s="131">
        <v>439</v>
      </c>
      <c r="Z179" s="131">
        <v>1000</v>
      </c>
      <c r="AA179" s="140">
        <v>1000</v>
      </c>
      <c r="AB179" s="138">
        <v>412.14381556109367</v>
      </c>
      <c r="AC179" s="138">
        <v>1000</v>
      </c>
      <c r="AD179" s="333">
        <v>280.04643877869188</v>
      </c>
      <c r="AE179" s="334">
        <v>999.99999999999989</v>
      </c>
      <c r="AF179" s="137">
        <v>478</v>
      </c>
      <c r="AG179" s="131">
        <v>1000</v>
      </c>
      <c r="AH179" s="125"/>
      <c r="AI179" s="132"/>
      <c r="AJ179" s="89"/>
      <c r="AS179" s="158" t="s">
        <v>261</v>
      </c>
      <c r="AT179" s="148">
        <v>8</v>
      </c>
      <c r="AU179" s="148">
        <v>0.875</v>
      </c>
      <c r="AV179" s="148" t="s">
        <v>33</v>
      </c>
      <c r="AW179" s="148" t="s">
        <v>33</v>
      </c>
      <c r="AX179" s="147" t="s">
        <v>33</v>
      </c>
      <c r="AY179" s="152" t="s">
        <v>33</v>
      </c>
      <c r="AZ179" s="152" t="s">
        <v>33</v>
      </c>
      <c r="BA179" s="335">
        <v>58.576831995633079</v>
      </c>
      <c r="BB179" s="336">
        <v>175.73049598689923</v>
      </c>
      <c r="BC179" s="151">
        <v>76</v>
      </c>
      <c r="BD179" s="149">
        <v>227</v>
      </c>
    </row>
    <row r="180" spans="21:56" hidden="1" x14ac:dyDescent="0.25">
      <c r="U180" s="135" t="s">
        <v>262</v>
      </c>
      <c r="V180" s="87" t="s">
        <v>159</v>
      </c>
      <c r="W180" s="85">
        <v>24</v>
      </c>
      <c r="X180" s="85">
        <v>1.25</v>
      </c>
      <c r="Y180" s="131">
        <v>484</v>
      </c>
      <c r="Z180" s="131">
        <v>1000</v>
      </c>
      <c r="AA180" s="140">
        <v>1000</v>
      </c>
      <c r="AB180" s="138">
        <v>454.41497613146225</v>
      </c>
      <c r="AC180" s="138">
        <v>1000</v>
      </c>
      <c r="AD180" s="333">
        <v>308.22721249227089</v>
      </c>
      <c r="AE180" s="334">
        <v>1000</v>
      </c>
      <c r="AF180" s="137">
        <v>526</v>
      </c>
      <c r="AG180" s="131">
        <v>1000</v>
      </c>
      <c r="AH180" s="125"/>
      <c r="AI180" s="132"/>
      <c r="AJ180" s="89"/>
      <c r="AS180" s="158" t="s">
        <v>262</v>
      </c>
      <c r="AT180" s="148">
        <v>8</v>
      </c>
      <c r="AU180" s="148">
        <v>1</v>
      </c>
      <c r="AV180" s="148" t="s">
        <v>33</v>
      </c>
      <c r="AW180" s="148" t="s">
        <v>33</v>
      </c>
      <c r="AX180" s="147" t="s">
        <v>33</v>
      </c>
      <c r="AY180" s="152" t="s">
        <v>33</v>
      </c>
      <c r="AZ180" s="152" t="s">
        <v>33</v>
      </c>
      <c r="BA180" s="335">
        <v>79.121114322522544</v>
      </c>
      <c r="BB180" s="336">
        <v>245</v>
      </c>
      <c r="BC180" s="151">
        <v>108</v>
      </c>
      <c r="BD180" s="149">
        <v>325</v>
      </c>
    </row>
    <row r="181" spans="21:56" hidden="1" x14ac:dyDescent="0.25">
      <c r="U181" s="135" t="s">
        <v>263</v>
      </c>
      <c r="V181" s="87" t="s">
        <v>160</v>
      </c>
      <c r="W181" s="85">
        <v>24</v>
      </c>
      <c r="X181" s="85">
        <v>1.5</v>
      </c>
      <c r="Y181" s="131">
        <v>662</v>
      </c>
      <c r="Z181" s="131">
        <v>1552</v>
      </c>
      <c r="AA181" s="140">
        <v>1035</v>
      </c>
      <c r="AB181" s="138">
        <v>620.72541680136408</v>
      </c>
      <c r="AC181" s="138">
        <v>1600</v>
      </c>
      <c r="AD181" s="333">
        <v>385.71155355461872</v>
      </c>
      <c r="AE181" s="334">
        <v>1600.0000000000002</v>
      </c>
      <c r="AF181" s="137">
        <v>723</v>
      </c>
      <c r="AG181" s="131">
        <v>1600</v>
      </c>
      <c r="AH181" s="125"/>
      <c r="AI181" s="132"/>
      <c r="AJ181" s="89"/>
      <c r="AS181" s="158" t="s">
        <v>263</v>
      </c>
      <c r="AT181" s="148">
        <v>8</v>
      </c>
      <c r="AU181" s="148">
        <v>1.125</v>
      </c>
      <c r="AV181" s="148" t="s">
        <v>33</v>
      </c>
      <c r="AW181" s="148" t="s">
        <v>33</v>
      </c>
      <c r="AX181" s="147" t="s">
        <v>33</v>
      </c>
      <c r="AY181" s="152" t="s">
        <v>33</v>
      </c>
      <c r="AZ181" s="152" t="s">
        <v>33</v>
      </c>
      <c r="BA181" s="335">
        <v>139.63158453830835</v>
      </c>
      <c r="BB181" s="336">
        <v>418.89475361492504</v>
      </c>
      <c r="BC181" s="151">
        <v>150</v>
      </c>
      <c r="BD181" s="149">
        <v>451</v>
      </c>
    </row>
    <row r="182" spans="21:56" hidden="1" x14ac:dyDescent="0.25">
      <c r="U182" s="135" t="s">
        <v>264</v>
      </c>
      <c r="V182" s="87" t="s">
        <v>161</v>
      </c>
      <c r="W182" s="85">
        <v>28</v>
      </c>
      <c r="X182" s="85">
        <v>1.625</v>
      </c>
      <c r="Y182" s="131">
        <v>901</v>
      </c>
      <c r="Z182" s="131">
        <v>1783</v>
      </c>
      <c r="AA182" s="140">
        <v>1189</v>
      </c>
      <c r="AB182" s="138"/>
      <c r="AC182" s="138"/>
      <c r="AD182" s="333">
        <v>685.66506328348657</v>
      </c>
      <c r="AE182" s="334">
        <v>2200</v>
      </c>
      <c r="AF182" s="137">
        <v>686</v>
      </c>
      <c r="AG182" s="131">
        <v>2057</v>
      </c>
      <c r="AH182" s="125"/>
      <c r="AI182" s="132"/>
      <c r="AJ182" s="89"/>
      <c r="AS182" s="158" t="s">
        <v>264</v>
      </c>
      <c r="AT182" s="148">
        <v>8</v>
      </c>
      <c r="AU182" s="148">
        <v>1.25</v>
      </c>
      <c r="AV182" s="148" t="s">
        <v>33</v>
      </c>
      <c r="AW182" s="148" t="s">
        <v>33</v>
      </c>
      <c r="AX182" s="147" t="s">
        <v>33</v>
      </c>
      <c r="AY182" s="152" t="s">
        <v>33</v>
      </c>
      <c r="AZ182" s="152" t="s">
        <v>33</v>
      </c>
      <c r="BA182" s="335">
        <v>228.76238427160732</v>
      </c>
      <c r="BB182" s="336">
        <v>686.28715281482198</v>
      </c>
      <c r="BC182" s="151">
        <v>231</v>
      </c>
      <c r="BD182" s="149">
        <v>694</v>
      </c>
    </row>
    <row r="183" spans="21:56" hidden="1" x14ac:dyDescent="0.25">
      <c r="U183" s="135" t="s">
        <v>265</v>
      </c>
      <c r="V183" s="87" t="s">
        <v>162</v>
      </c>
      <c r="W183" s="85">
        <v>28</v>
      </c>
      <c r="X183" s="85">
        <v>1.625</v>
      </c>
      <c r="Y183" s="131">
        <v>995</v>
      </c>
      <c r="Z183" s="131">
        <v>1911</v>
      </c>
      <c r="AA183" s="140">
        <v>1274</v>
      </c>
      <c r="AB183" s="138"/>
      <c r="AC183" s="138"/>
      <c r="AD183" s="333">
        <v>734.64113923230695</v>
      </c>
      <c r="AE183" s="334">
        <v>2199.9999999999995</v>
      </c>
      <c r="AF183" s="137">
        <v>735</v>
      </c>
      <c r="AG183" s="131">
        <v>2200</v>
      </c>
      <c r="AH183" s="125"/>
      <c r="AI183" s="132"/>
      <c r="AJ183" s="89"/>
      <c r="AS183" s="158" t="s">
        <v>265</v>
      </c>
      <c r="AT183" s="148">
        <v>8</v>
      </c>
      <c r="AU183" s="148">
        <v>1.5</v>
      </c>
      <c r="AV183" s="148" t="s">
        <v>33</v>
      </c>
      <c r="AW183" s="148" t="s">
        <v>33</v>
      </c>
      <c r="AX183" s="147" t="s">
        <v>33</v>
      </c>
      <c r="AY183" s="152" t="s">
        <v>33</v>
      </c>
      <c r="AZ183" s="152" t="s">
        <v>33</v>
      </c>
      <c r="BA183" s="335">
        <v>305.15106053440087</v>
      </c>
      <c r="BB183" s="336">
        <v>915.45318160320267</v>
      </c>
      <c r="BC183" s="151">
        <v>323</v>
      </c>
      <c r="BD183" s="149">
        <v>970</v>
      </c>
    </row>
    <row r="184" spans="21:56" hidden="1" x14ac:dyDescent="0.25">
      <c r="U184" s="135" t="s">
        <v>266</v>
      </c>
      <c r="V184" s="87" t="s">
        <v>163</v>
      </c>
      <c r="W184" s="85">
        <v>28</v>
      </c>
      <c r="X184" s="85">
        <v>1.75</v>
      </c>
      <c r="Y184" s="131">
        <v>1322</v>
      </c>
      <c r="Z184" s="131">
        <v>2539</v>
      </c>
      <c r="AA184" s="140">
        <v>1693</v>
      </c>
      <c r="AB184" s="139"/>
      <c r="AC184" s="139"/>
      <c r="AD184" s="139">
        <v>913.74786326001833</v>
      </c>
      <c r="AE184" s="139">
        <v>3000</v>
      </c>
      <c r="AF184" s="137">
        <v>914</v>
      </c>
      <c r="AG184" s="131">
        <v>2741</v>
      </c>
      <c r="AH184" s="125"/>
      <c r="AI184" s="132"/>
      <c r="AJ184" s="89"/>
      <c r="AS184" s="158" t="s">
        <v>266</v>
      </c>
      <c r="AT184" s="148">
        <v>12</v>
      </c>
      <c r="AU184" s="148">
        <v>1.375</v>
      </c>
      <c r="AV184" s="148" t="s">
        <v>33</v>
      </c>
      <c r="AW184" s="148" t="s">
        <v>33</v>
      </c>
      <c r="AX184" s="147" t="s">
        <v>33</v>
      </c>
      <c r="AY184" s="152" t="s">
        <v>33</v>
      </c>
      <c r="AZ184" s="152" t="s">
        <v>33</v>
      </c>
      <c r="BA184" s="335">
        <v>271.53894835715346</v>
      </c>
      <c r="BB184" s="336">
        <v>814.61684507146049</v>
      </c>
      <c r="BC184" s="151">
        <v>289</v>
      </c>
      <c r="BD184" s="149">
        <v>867</v>
      </c>
    </row>
    <row r="185" spans="21:56" hidden="1" x14ac:dyDescent="0.25">
      <c r="U185" s="135" t="s">
        <v>267</v>
      </c>
      <c r="V185" s="87" t="s">
        <v>92</v>
      </c>
      <c r="W185" s="85">
        <v>4</v>
      </c>
      <c r="X185" s="85">
        <v>0.625</v>
      </c>
      <c r="Y185" s="131">
        <v>119</v>
      </c>
      <c r="Z185" s="131">
        <v>120</v>
      </c>
      <c r="AA185" s="140">
        <v>120</v>
      </c>
      <c r="AB185" s="139">
        <v>120</v>
      </c>
      <c r="AC185" s="139">
        <v>120</v>
      </c>
      <c r="AD185" s="139">
        <v>102</v>
      </c>
      <c r="AE185" s="139">
        <v>120</v>
      </c>
      <c r="AF185" s="137">
        <v>120</v>
      </c>
      <c r="AG185" s="131">
        <v>120</v>
      </c>
      <c r="AH185" s="125"/>
      <c r="AI185" s="132"/>
      <c r="AJ185" s="88"/>
      <c r="AS185" s="158" t="s">
        <v>267</v>
      </c>
      <c r="AT185" s="148">
        <v>12</v>
      </c>
      <c r="AU185" s="148">
        <v>1.625</v>
      </c>
      <c r="AV185" s="148" t="s">
        <v>33</v>
      </c>
      <c r="AW185" s="148" t="s">
        <v>33</v>
      </c>
      <c r="AX185" s="147" t="s">
        <v>33</v>
      </c>
      <c r="AY185" s="152" t="s">
        <v>33</v>
      </c>
      <c r="AZ185" s="152" t="s">
        <v>33</v>
      </c>
      <c r="BA185" s="335">
        <v>417.82714793837465</v>
      </c>
      <c r="BB185" s="336">
        <v>1253.4814438151238</v>
      </c>
      <c r="BC185" s="151">
        <v>432</v>
      </c>
      <c r="BD185" s="149">
        <v>1297</v>
      </c>
    </row>
    <row r="186" spans="21:56" hidden="1" x14ac:dyDescent="0.25">
      <c r="U186" s="135" t="s">
        <v>268</v>
      </c>
      <c r="V186" s="87" t="s">
        <v>164</v>
      </c>
      <c r="W186" s="85">
        <v>28</v>
      </c>
      <c r="X186" s="85">
        <v>1.875</v>
      </c>
      <c r="Y186" s="131">
        <v>1724</v>
      </c>
      <c r="Z186" s="131">
        <v>3310</v>
      </c>
      <c r="AA186" s="140">
        <v>2207</v>
      </c>
      <c r="AB186" s="138"/>
      <c r="AC186" s="138"/>
      <c r="AD186" s="333">
        <v>1120.0494641704681</v>
      </c>
      <c r="AE186" s="334">
        <v>3999.9999999999991</v>
      </c>
      <c r="AF186" s="137">
        <v>1120</v>
      </c>
      <c r="AG186" s="131">
        <v>3360</v>
      </c>
      <c r="AH186" s="125"/>
      <c r="AI186" s="132"/>
      <c r="AJ186" s="89"/>
      <c r="AS186" s="158" t="s">
        <v>268</v>
      </c>
      <c r="AT186" s="148">
        <v>12</v>
      </c>
      <c r="AU186" s="148">
        <v>1.875</v>
      </c>
      <c r="AV186" s="148" t="s">
        <v>33</v>
      </c>
      <c r="AW186" s="148" t="s">
        <v>33</v>
      </c>
      <c r="AX186" s="147" t="s">
        <v>33</v>
      </c>
      <c r="AY186" s="152" t="s">
        <v>33</v>
      </c>
      <c r="AZ186" s="152" t="s">
        <v>33</v>
      </c>
      <c r="BA186" s="335">
        <v>672.56014637350575</v>
      </c>
      <c r="BB186" s="336">
        <v>2017.6804391205171</v>
      </c>
      <c r="BC186" s="151">
        <v>754</v>
      </c>
      <c r="BD186" s="149">
        <v>2262</v>
      </c>
    </row>
    <row r="187" spans="21:56" hidden="1" x14ac:dyDescent="0.25">
      <c r="U187" s="135" t="s">
        <v>269</v>
      </c>
      <c r="V187" s="87" t="s">
        <v>165</v>
      </c>
      <c r="W187" s="85">
        <v>28</v>
      </c>
      <c r="X187" s="85">
        <v>1.875</v>
      </c>
      <c r="Y187" s="131">
        <v>1872</v>
      </c>
      <c r="Z187" s="131">
        <v>3504</v>
      </c>
      <c r="AA187" s="140">
        <v>2336</v>
      </c>
      <c r="AB187" s="138"/>
      <c r="AC187" s="138"/>
      <c r="AD187" s="333">
        <v>1184.9798678904951</v>
      </c>
      <c r="AE187" s="334">
        <v>4000</v>
      </c>
      <c r="AF187" s="137">
        <v>1185</v>
      </c>
      <c r="AG187" s="131">
        <v>3555</v>
      </c>
      <c r="AH187" s="125"/>
      <c r="AI187" s="132"/>
      <c r="AJ187" s="89"/>
      <c r="AS187" s="158" t="s">
        <v>269</v>
      </c>
      <c r="AT187" s="148">
        <v>16</v>
      </c>
      <c r="AU187" s="148">
        <v>2</v>
      </c>
      <c r="AV187" s="148" t="s">
        <v>33</v>
      </c>
      <c r="AW187" s="148" t="s">
        <v>33</v>
      </c>
      <c r="AX187" s="147" t="s">
        <v>33</v>
      </c>
      <c r="AY187" s="152" t="s">
        <v>33</v>
      </c>
      <c r="AZ187" s="152" t="s">
        <v>33</v>
      </c>
      <c r="BA187" s="335">
        <v>483.56257114343748</v>
      </c>
      <c r="BB187" s="336">
        <v>2200</v>
      </c>
      <c r="BC187" s="151">
        <v>647</v>
      </c>
      <c r="BD187" s="149">
        <v>2200</v>
      </c>
    </row>
    <row r="188" spans="21:56" hidden="1" x14ac:dyDescent="0.25">
      <c r="U188" s="135" t="s">
        <v>270</v>
      </c>
      <c r="V188" s="87" t="s">
        <v>166</v>
      </c>
      <c r="W188" s="85">
        <v>32</v>
      </c>
      <c r="X188" s="85">
        <v>2</v>
      </c>
      <c r="Y188" s="85">
        <v>1758</v>
      </c>
      <c r="Z188" s="85">
        <v>3297</v>
      </c>
      <c r="AA188" s="87">
        <v>2198</v>
      </c>
      <c r="AB188" s="138"/>
      <c r="AC188" s="138"/>
      <c r="AD188" s="308">
        <v>1048.5672595320852</v>
      </c>
      <c r="AE188" s="309">
        <v>4194.269038128341</v>
      </c>
      <c r="AF188" s="137">
        <v>1049</v>
      </c>
      <c r="AG188" s="131">
        <v>3146</v>
      </c>
      <c r="AH188" s="125"/>
      <c r="AI188" s="132"/>
      <c r="AJ188" s="89"/>
      <c r="AS188" s="158" t="s">
        <v>270</v>
      </c>
      <c r="AT188" s="148">
        <v>16</v>
      </c>
      <c r="AU188" s="148">
        <v>2.25</v>
      </c>
      <c r="AV188" s="148" t="s">
        <v>33</v>
      </c>
      <c r="AW188" s="148" t="s">
        <v>33</v>
      </c>
      <c r="AX188" s="147" t="s">
        <v>33</v>
      </c>
      <c r="AY188" s="152" t="s">
        <v>33</v>
      </c>
      <c r="AZ188" s="152" t="s">
        <v>33</v>
      </c>
      <c r="BA188" s="335">
        <v>701.14080674681816</v>
      </c>
      <c r="BB188" s="336">
        <v>3180</v>
      </c>
      <c r="BC188" s="151">
        <v>684</v>
      </c>
      <c r="BD188" s="149">
        <v>3180</v>
      </c>
    </row>
    <row r="189" spans="21:56" hidden="1" x14ac:dyDescent="0.25">
      <c r="U189" s="135" t="s">
        <v>271</v>
      </c>
      <c r="V189" s="87" t="s">
        <v>167</v>
      </c>
      <c r="W189" s="85">
        <v>32</v>
      </c>
      <c r="X189" s="85">
        <v>1.5</v>
      </c>
      <c r="Y189" s="85">
        <v>976</v>
      </c>
      <c r="Z189" s="85">
        <v>1371</v>
      </c>
      <c r="AA189" s="87">
        <v>976</v>
      </c>
      <c r="AB189" s="138"/>
      <c r="AC189" s="138"/>
      <c r="AD189" s="308">
        <v>548.52095931227484</v>
      </c>
      <c r="AE189" s="309">
        <v>1600</v>
      </c>
      <c r="AF189" s="137">
        <v>549</v>
      </c>
      <c r="AG189" s="131">
        <v>1600</v>
      </c>
      <c r="AH189" s="125"/>
      <c r="AI189" s="132"/>
      <c r="AJ189" s="89"/>
      <c r="AS189" s="158" t="s">
        <v>271</v>
      </c>
      <c r="AT189" s="148">
        <v>16</v>
      </c>
      <c r="AU189" s="148">
        <v>2.5</v>
      </c>
      <c r="AV189" s="148" t="s">
        <v>33</v>
      </c>
      <c r="AW189" s="148" t="s">
        <v>33</v>
      </c>
      <c r="AX189" s="147" t="s">
        <v>33</v>
      </c>
      <c r="AY189" s="152" t="s">
        <v>33</v>
      </c>
      <c r="AZ189" s="152" t="s">
        <v>33</v>
      </c>
      <c r="BA189" s="335">
        <v>1027.4192540172235</v>
      </c>
      <c r="BB189" s="336">
        <v>4400</v>
      </c>
      <c r="BC189" s="151">
        <v>1141</v>
      </c>
      <c r="BD189" s="149">
        <v>4400</v>
      </c>
    </row>
    <row r="190" spans="21:56" hidden="1" x14ac:dyDescent="0.25">
      <c r="U190" s="135" t="s">
        <v>272</v>
      </c>
      <c r="V190" s="87" t="s">
        <v>168</v>
      </c>
      <c r="W190" s="85">
        <v>32</v>
      </c>
      <c r="X190" s="85">
        <v>1.625</v>
      </c>
      <c r="Y190" s="85">
        <v>1270</v>
      </c>
      <c r="Z190" s="85">
        <v>1828</v>
      </c>
      <c r="AA190" s="87">
        <v>1270</v>
      </c>
      <c r="AB190" s="138"/>
      <c r="AC190" s="138"/>
      <c r="AD190" s="308">
        <v>827.36806037075996</v>
      </c>
      <c r="AE190" s="309">
        <v>2200</v>
      </c>
      <c r="AF190" s="137">
        <v>830</v>
      </c>
      <c r="AG190" s="131">
        <v>2200</v>
      </c>
      <c r="AH190" s="125"/>
      <c r="AI190" s="132"/>
      <c r="AJ190" s="89"/>
      <c r="AS190" s="158" t="s">
        <v>272</v>
      </c>
      <c r="AT190" s="148">
        <v>16</v>
      </c>
      <c r="AU190" s="148">
        <v>2.75</v>
      </c>
      <c r="AV190" s="148" t="s">
        <v>33</v>
      </c>
      <c r="AW190" s="148" t="s">
        <v>33</v>
      </c>
      <c r="AX190" s="147" t="s">
        <v>33</v>
      </c>
      <c r="AY190" s="152" t="s">
        <v>33</v>
      </c>
      <c r="AZ190" s="152" t="s">
        <v>33</v>
      </c>
      <c r="BA190" s="335">
        <v>1464.3143168115573</v>
      </c>
      <c r="BB190" s="336">
        <v>5920</v>
      </c>
      <c r="BC190" s="151">
        <v>1606</v>
      </c>
      <c r="BD190" s="149">
        <v>5920</v>
      </c>
    </row>
    <row r="191" spans="21:56" hidden="1" x14ac:dyDescent="0.25">
      <c r="U191" s="135" t="s">
        <v>273</v>
      </c>
      <c r="V191" s="87" t="s">
        <v>169</v>
      </c>
      <c r="W191" s="85">
        <v>32</v>
      </c>
      <c r="X191" s="85">
        <v>1.625</v>
      </c>
      <c r="Y191" s="85">
        <v>1369</v>
      </c>
      <c r="Z191" s="85">
        <v>1916</v>
      </c>
      <c r="AA191" s="87">
        <v>1369</v>
      </c>
      <c r="AB191" s="138"/>
      <c r="AC191" s="138"/>
      <c r="AD191" s="308">
        <v>867.54374767252671</v>
      </c>
      <c r="AE191" s="309">
        <v>2200</v>
      </c>
      <c r="AF191" s="137">
        <v>870</v>
      </c>
      <c r="AG191" s="131">
        <v>2200</v>
      </c>
      <c r="AH191" s="125"/>
      <c r="AI191" s="132"/>
      <c r="AJ191" s="89"/>
      <c r="AS191" s="158" t="s">
        <v>273</v>
      </c>
      <c r="AT191" s="148">
        <v>16</v>
      </c>
      <c r="AU191" s="148">
        <v>3</v>
      </c>
      <c r="AV191" s="148" t="s">
        <v>33</v>
      </c>
      <c r="AW191" s="148" t="s">
        <v>33</v>
      </c>
      <c r="AX191" s="147" t="s">
        <v>33</v>
      </c>
      <c r="AY191" s="152" t="s">
        <v>33</v>
      </c>
      <c r="AZ191" s="152" t="s">
        <v>33</v>
      </c>
      <c r="BA191" s="335">
        <v>1747.7613699628937</v>
      </c>
      <c r="BB191" s="336">
        <v>7720</v>
      </c>
      <c r="BC191" s="151">
        <v>1921</v>
      </c>
      <c r="BD191" s="149">
        <v>7720</v>
      </c>
    </row>
    <row r="192" spans="21:56" hidden="1" x14ac:dyDescent="0.25">
      <c r="U192" s="135" t="s">
        <v>274</v>
      </c>
      <c r="V192" s="87" t="s">
        <v>170</v>
      </c>
      <c r="W192" s="85">
        <v>32</v>
      </c>
      <c r="X192" s="85">
        <v>1.75</v>
      </c>
      <c r="Y192" s="85">
        <v>1771</v>
      </c>
      <c r="Z192" s="85">
        <v>2537</v>
      </c>
      <c r="AA192" s="87">
        <v>1771</v>
      </c>
      <c r="AB192" s="138"/>
      <c r="AC192" s="138"/>
      <c r="AD192" s="308">
        <v>1128.0181955361079</v>
      </c>
      <c r="AE192" s="309">
        <v>3000.0000000000005</v>
      </c>
      <c r="AF192" s="137">
        <v>1128</v>
      </c>
      <c r="AG192" s="131">
        <v>3000</v>
      </c>
      <c r="AH192" s="125"/>
      <c r="AI192" s="132"/>
      <c r="AJ192" s="89"/>
      <c r="AS192" s="158" t="s">
        <v>274</v>
      </c>
      <c r="AT192" s="148">
        <v>16</v>
      </c>
      <c r="AU192" s="148">
        <v>3.5</v>
      </c>
      <c r="AV192" s="148" t="s">
        <v>33</v>
      </c>
      <c r="AW192" s="148" t="s">
        <v>33</v>
      </c>
      <c r="AX192" s="147" t="s">
        <v>33</v>
      </c>
      <c r="AY192" s="152" t="s">
        <v>33</v>
      </c>
      <c r="AZ192" s="152" t="s">
        <v>33</v>
      </c>
      <c r="BA192" s="335">
        <v>2516.0791163125396</v>
      </c>
      <c r="BB192" s="336">
        <v>13000</v>
      </c>
      <c r="BC192" s="151">
        <v>3100</v>
      </c>
      <c r="BD192" s="149">
        <v>13000</v>
      </c>
    </row>
    <row r="193" spans="21:56" hidden="1" x14ac:dyDescent="0.25">
      <c r="U193" s="135" t="s">
        <v>275</v>
      </c>
      <c r="V193" s="87" t="s">
        <v>171</v>
      </c>
      <c r="W193" s="85">
        <v>28</v>
      </c>
      <c r="X193" s="85">
        <v>1.875</v>
      </c>
      <c r="Y193" s="85">
        <v>2483</v>
      </c>
      <c r="Z193" s="85">
        <v>3468</v>
      </c>
      <c r="AA193" s="87">
        <v>2483</v>
      </c>
      <c r="AB193" s="138"/>
      <c r="AC193" s="138"/>
      <c r="AD193" s="308">
        <v>1538.0389381181428</v>
      </c>
      <c r="AE193" s="309">
        <v>4000</v>
      </c>
      <c r="AF193" s="137">
        <v>1538</v>
      </c>
      <c r="AG193" s="131">
        <v>4000</v>
      </c>
      <c r="AH193" s="125"/>
      <c r="AI193" s="132"/>
      <c r="AJ193" s="89"/>
      <c r="AS193" s="158" t="s">
        <v>275</v>
      </c>
      <c r="AT193" s="148">
        <v>4</v>
      </c>
      <c r="AU193" s="148">
        <v>0.75</v>
      </c>
      <c r="AV193" s="148" t="s">
        <v>33</v>
      </c>
      <c r="AW193" s="148" t="s">
        <v>33</v>
      </c>
      <c r="AX193" s="147" t="s">
        <v>33</v>
      </c>
      <c r="AY193" s="152" t="s">
        <v>33</v>
      </c>
      <c r="AZ193" s="152" t="s">
        <v>33</v>
      </c>
      <c r="BA193" s="337">
        <v>19.532587056765177</v>
      </c>
      <c r="BB193" s="338">
        <v>100</v>
      </c>
      <c r="BC193" s="151">
        <v>22</v>
      </c>
      <c r="BD193" s="149">
        <v>100</v>
      </c>
    </row>
    <row r="194" spans="21:56" hidden="1" x14ac:dyDescent="0.25">
      <c r="U194" s="135" t="s">
        <v>276</v>
      </c>
      <c r="V194" s="87" t="s">
        <v>172</v>
      </c>
      <c r="W194" s="85">
        <v>32</v>
      </c>
      <c r="X194" s="85">
        <v>1.875</v>
      </c>
      <c r="Y194" s="85">
        <v>2407</v>
      </c>
      <c r="Z194" s="85">
        <v>3434</v>
      </c>
      <c r="AA194" s="87">
        <v>2407</v>
      </c>
      <c r="AB194" s="138"/>
      <c r="AC194" s="138"/>
      <c r="AD194" s="308">
        <v>1409.6999370152766</v>
      </c>
      <c r="AE194" s="309">
        <v>4000</v>
      </c>
      <c r="AF194" s="137">
        <v>1410</v>
      </c>
      <c r="AG194" s="131">
        <v>4000</v>
      </c>
      <c r="AH194" s="125"/>
      <c r="AI194" s="132"/>
      <c r="AJ194" s="89"/>
      <c r="AS194" s="158" t="s">
        <v>276</v>
      </c>
      <c r="AT194" s="148">
        <v>4</v>
      </c>
      <c r="AU194" s="148">
        <v>0.75</v>
      </c>
      <c r="AV194" s="148" t="s">
        <v>33</v>
      </c>
      <c r="AW194" s="148" t="s">
        <v>33</v>
      </c>
      <c r="AX194" s="147" t="s">
        <v>33</v>
      </c>
      <c r="AY194" s="152" t="s">
        <v>33</v>
      </c>
      <c r="AZ194" s="152" t="s">
        <v>33</v>
      </c>
      <c r="BA194" s="337">
        <v>25.23733636906319</v>
      </c>
      <c r="BB194" s="338">
        <v>100</v>
      </c>
      <c r="BC194" s="151">
        <v>31</v>
      </c>
      <c r="BD194" s="149">
        <v>100</v>
      </c>
    </row>
    <row r="195" spans="21:56" hidden="1" x14ac:dyDescent="0.25">
      <c r="U195" s="135" t="s">
        <v>277</v>
      </c>
      <c r="V195" s="87" t="s">
        <v>173</v>
      </c>
      <c r="W195" s="85">
        <v>32</v>
      </c>
      <c r="X195" s="85">
        <v>2</v>
      </c>
      <c r="Y195" s="85">
        <v>2919</v>
      </c>
      <c r="Z195" s="85">
        <v>4243</v>
      </c>
      <c r="AA195" s="87">
        <v>2919</v>
      </c>
      <c r="AB195" s="138"/>
      <c r="AC195" s="138"/>
      <c r="AD195" s="308">
        <v>1411.6633655836488</v>
      </c>
      <c r="AE195" s="309">
        <v>4399.9999999999991</v>
      </c>
      <c r="AF195" s="137">
        <v>1625</v>
      </c>
      <c r="AG195" s="131">
        <v>4400</v>
      </c>
      <c r="AH195" s="125"/>
      <c r="AI195" s="132"/>
      <c r="AJ195" s="89"/>
      <c r="AS195" s="158" t="s">
        <v>277</v>
      </c>
      <c r="AT195" s="148">
        <v>4</v>
      </c>
      <c r="AU195" s="148">
        <v>0.875</v>
      </c>
      <c r="AV195" s="148" t="s">
        <v>33</v>
      </c>
      <c r="AW195" s="148" t="s">
        <v>33</v>
      </c>
      <c r="AX195" s="147" t="s">
        <v>33</v>
      </c>
      <c r="AY195" s="152" t="s">
        <v>33</v>
      </c>
      <c r="AZ195" s="152" t="s">
        <v>33</v>
      </c>
      <c r="BA195" s="337">
        <v>36.040215960961191</v>
      </c>
      <c r="BB195" s="338">
        <v>160</v>
      </c>
      <c r="BC195" s="151">
        <v>49</v>
      </c>
      <c r="BD195" s="149">
        <v>160</v>
      </c>
    </row>
    <row r="196" spans="21:56" hidden="1" x14ac:dyDescent="0.25">
      <c r="U196" s="135" t="s">
        <v>278</v>
      </c>
      <c r="V196" s="87" t="s">
        <v>93</v>
      </c>
      <c r="W196" s="85">
        <v>8</v>
      </c>
      <c r="X196" s="85">
        <v>0.625</v>
      </c>
      <c r="Y196" s="131">
        <v>66</v>
      </c>
      <c r="Z196" s="131">
        <v>120</v>
      </c>
      <c r="AA196" s="140">
        <v>120</v>
      </c>
      <c r="AB196" s="139" t="s">
        <v>33</v>
      </c>
      <c r="AC196" s="139" t="s">
        <v>33</v>
      </c>
      <c r="AD196" s="139" t="s">
        <v>33</v>
      </c>
      <c r="AE196" s="139" t="s">
        <v>33</v>
      </c>
      <c r="AF196" s="137" t="s">
        <v>33</v>
      </c>
      <c r="AG196" s="131" t="s">
        <v>33</v>
      </c>
      <c r="AH196" s="125"/>
      <c r="AI196" s="132"/>
      <c r="AJ196" s="89"/>
      <c r="AS196" s="158" t="s">
        <v>278</v>
      </c>
      <c r="AT196" s="148">
        <v>4</v>
      </c>
      <c r="AU196" s="148">
        <v>1</v>
      </c>
      <c r="AV196" s="148" t="s">
        <v>33</v>
      </c>
      <c r="AW196" s="148" t="s">
        <v>33</v>
      </c>
      <c r="AX196" s="147" t="s">
        <v>33</v>
      </c>
      <c r="AY196" s="152" t="s">
        <v>33</v>
      </c>
      <c r="AZ196" s="152" t="s">
        <v>33</v>
      </c>
      <c r="BA196" s="337">
        <v>75.02864289204723</v>
      </c>
      <c r="BB196" s="338">
        <v>245</v>
      </c>
      <c r="BC196" s="151">
        <v>94</v>
      </c>
      <c r="BD196" s="149">
        <v>279</v>
      </c>
    </row>
    <row r="197" spans="21:56" hidden="1" x14ac:dyDescent="0.25">
      <c r="U197" s="135" t="s">
        <v>279</v>
      </c>
      <c r="V197" s="87" t="s">
        <v>174</v>
      </c>
      <c r="W197" s="85">
        <v>32</v>
      </c>
      <c r="X197" s="85">
        <v>2</v>
      </c>
      <c r="Y197" s="131">
        <v>3099</v>
      </c>
      <c r="Z197" s="131">
        <v>4407</v>
      </c>
      <c r="AA197" s="140">
        <v>3099</v>
      </c>
      <c r="AB197" s="139"/>
      <c r="AC197" s="139"/>
      <c r="AD197" s="139">
        <v>1465.958110413789</v>
      </c>
      <c r="AE197" s="139">
        <v>4399.9999999999991</v>
      </c>
      <c r="AF197" s="137">
        <v>1687</v>
      </c>
      <c r="AG197" s="131">
        <v>4398</v>
      </c>
      <c r="AH197" s="125"/>
      <c r="AI197" s="132"/>
      <c r="AJ197" s="89"/>
      <c r="AS197" s="158" t="s">
        <v>279</v>
      </c>
      <c r="AT197" s="148">
        <v>4</v>
      </c>
      <c r="AU197" s="148">
        <v>1.125</v>
      </c>
      <c r="AV197" s="148" t="s">
        <v>33</v>
      </c>
      <c r="AW197" s="148" t="s">
        <v>33</v>
      </c>
      <c r="AX197" s="147" t="s">
        <v>33</v>
      </c>
      <c r="AY197" s="152" t="s">
        <v>33</v>
      </c>
      <c r="AZ197" s="152" t="s">
        <v>33</v>
      </c>
      <c r="BA197" s="337">
        <v>105.5305515097228</v>
      </c>
      <c r="BB197" s="338">
        <v>355</v>
      </c>
      <c r="BC197" s="151">
        <v>129</v>
      </c>
      <c r="BD197" s="149">
        <v>387</v>
      </c>
    </row>
    <row r="198" spans="21:56" hidden="1" x14ac:dyDescent="0.25">
      <c r="U198" s="135" t="s">
        <v>280</v>
      </c>
      <c r="V198" s="87" t="s">
        <v>175</v>
      </c>
      <c r="W198" s="85">
        <v>28</v>
      </c>
      <c r="X198" s="85">
        <v>2.25</v>
      </c>
      <c r="Y198" s="85">
        <v>3772</v>
      </c>
      <c r="Z198" s="85">
        <v>5457</v>
      </c>
      <c r="AA198" s="87">
        <v>3772</v>
      </c>
      <c r="AB198" s="138"/>
      <c r="AC198" s="138"/>
      <c r="AD198" s="308">
        <v>1954.3994613151726</v>
      </c>
      <c r="AE198" s="309">
        <v>6360</v>
      </c>
      <c r="AF198" s="137">
        <v>1954</v>
      </c>
      <c r="AG198" s="131">
        <v>5863</v>
      </c>
      <c r="AH198" s="125"/>
      <c r="AI198" s="132"/>
      <c r="AJ198" s="89"/>
      <c r="AS198" s="158" t="s">
        <v>280</v>
      </c>
      <c r="AT198" s="148">
        <v>8</v>
      </c>
      <c r="AU198" s="148">
        <v>1</v>
      </c>
      <c r="AV198" s="148" t="s">
        <v>33</v>
      </c>
      <c r="AW198" s="148" t="s">
        <v>33</v>
      </c>
      <c r="AX198" s="147" t="s">
        <v>33</v>
      </c>
      <c r="AY198" s="152" t="s">
        <v>33</v>
      </c>
      <c r="AZ198" s="152" t="s">
        <v>33</v>
      </c>
      <c r="BA198" s="337">
        <v>68.207857174588398</v>
      </c>
      <c r="BB198" s="338">
        <v>245</v>
      </c>
      <c r="BC198" s="151">
        <v>88</v>
      </c>
      <c r="BD198" s="149">
        <v>264</v>
      </c>
    </row>
    <row r="199" spans="21:56" hidden="1" x14ac:dyDescent="0.25">
      <c r="U199" s="135" t="s">
        <v>281</v>
      </c>
      <c r="V199" s="87" t="s">
        <v>176</v>
      </c>
      <c r="W199" s="85">
        <v>28</v>
      </c>
      <c r="X199" s="85">
        <v>2.25</v>
      </c>
      <c r="Y199" s="85">
        <v>3987</v>
      </c>
      <c r="Z199" s="85">
        <v>5653</v>
      </c>
      <c r="AA199" s="87">
        <v>3987</v>
      </c>
      <c r="AB199" s="138"/>
      <c r="AC199" s="138"/>
      <c r="AD199" s="308">
        <v>2023.8892199397123</v>
      </c>
      <c r="AE199" s="309">
        <v>6360.0000000000009</v>
      </c>
      <c r="AF199" s="137">
        <v>2024</v>
      </c>
      <c r="AG199" s="131">
        <v>6072</v>
      </c>
      <c r="AH199" s="125"/>
      <c r="AI199" s="132"/>
      <c r="AJ199" s="89"/>
      <c r="AS199" s="158" t="s">
        <v>281</v>
      </c>
      <c r="AT199" s="148">
        <v>8</v>
      </c>
      <c r="AU199" s="148">
        <v>1.125</v>
      </c>
      <c r="AV199" s="148" t="s">
        <v>33</v>
      </c>
      <c r="AW199" s="148" t="s">
        <v>33</v>
      </c>
      <c r="AX199" s="147" t="s">
        <v>33</v>
      </c>
      <c r="AY199" s="152" t="s">
        <v>33</v>
      </c>
      <c r="AZ199" s="152" t="s">
        <v>33</v>
      </c>
      <c r="BA199" s="337">
        <v>86.771056105948773</v>
      </c>
      <c r="BB199" s="338">
        <v>355</v>
      </c>
      <c r="BC199" s="151">
        <v>119</v>
      </c>
      <c r="BD199" s="149">
        <v>357</v>
      </c>
    </row>
    <row r="200" spans="21:56" hidden="1" x14ac:dyDescent="0.25">
      <c r="U200" s="135" t="s">
        <v>282</v>
      </c>
      <c r="V200" s="87" t="s">
        <v>177</v>
      </c>
      <c r="W200" s="85">
        <v>32</v>
      </c>
      <c r="X200" s="85">
        <v>2.25</v>
      </c>
      <c r="Y200" s="85">
        <v>3795</v>
      </c>
      <c r="Z200" s="85">
        <v>5470</v>
      </c>
      <c r="AA200" s="87">
        <v>3795</v>
      </c>
      <c r="AB200" s="138"/>
      <c r="AC200" s="138"/>
      <c r="AD200" s="308">
        <v>1839.3070485932794</v>
      </c>
      <c r="AE200" s="309">
        <v>6360</v>
      </c>
      <c r="AF200" s="137">
        <v>1839</v>
      </c>
      <c r="AG200" s="131">
        <v>5518</v>
      </c>
      <c r="AH200" s="125"/>
      <c r="AI200" s="132"/>
      <c r="AJ200" s="89"/>
      <c r="AS200" s="158" t="s">
        <v>282</v>
      </c>
      <c r="AT200" s="148">
        <v>8</v>
      </c>
      <c r="AU200" s="148">
        <v>1.25</v>
      </c>
      <c r="AV200" s="148" t="s">
        <v>33</v>
      </c>
      <c r="AW200" s="148" t="s">
        <v>33</v>
      </c>
      <c r="AX200" s="147" t="s">
        <v>33</v>
      </c>
      <c r="AY200" s="152" t="s">
        <v>33</v>
      </c>
      <c r="AZ200" s="152" t="s">
        <v>33</v>
      </c>
      <c r="BA200" s="337">
        <v>154.11360624613545</v>
      </c>
      <c r="BB200" s="338">
        <v>500</v>
      </c>
      <c r="BC200" s="151">
        <v>166</v>
      </c>
      <c r="BD200" s="149">
        <v>500</v>
      </c>
    </row>
    <row r="201" spans="21:56" hidden="1" x14ac:dyDescent="0.25">
      <c r="U201" s="135" t="s">
        <v>283</v>
      </c>
      <c r="V201" s="87" t="s">
        <v>178</v>
      </c>
      <c r="W201" s="85">
        <v>32</v>
      </c>
      <c r="X201" s="85">
        <v>2.5</v>
      </c>
      <c r="Y201" s="85">
        <v>4410</v>
      </c>
      <c r="Z201" s="85">
        <v>6237</v>
      </c>
      <c r="AA201" s="87">
        <v>4410</v>
      </c>
      <c r="AB201" s="138"/>
      <c r="AC201" s="138"/>
      <c r="AD201" s="308">
        <v>1900.1105873897511</v>
      </c>
      <c r="AE201" s="309">
        <v>6360</v>
      </c>
      <c r="AF201" s="137">
        <v>1900</v>
      </c>
      <c r="AG201" s="131">
        <v>5700</v>
      </c>
      <c r="AH201" s="125"/>
      <c r="AI201" s="132"/>
      <c r="AJ201" s="89"/>
      <c r="AS201" s="158" t="s">
        <v>283</v>
      </c>
      <c r="AT201" s="148">
        <v>8</v>
      </c>
      <c r="AU201" s="148">
        <v>1.5</v>
      </c>
      <c r="AV201" s="148" t="s">
        <v>33</v>
      </c>
      <c r="AW201" s="148" t="s">
        <v>33</v>
      </c>
      <c r="AX201" s="147" t="s">
        <v>33</v>
      </c>
      <c r="AY201" s="152" t="s">
        <v>33</v>
      </c>
      <c r="AZ201" s="152" t="s">
        <v>33</v>
      </c>
      <c r="BA201" s="337">
        <v>242.01594874115099</v>
      </c>
      <c r="BB201" s="338">
        <v>800</v>
      </c>
      <c r="BC201" s="151">
        <v>245</v>
      </c>
      <c r="BD201" s="149">
        <v>800</v>
      </c>
    </row>
    <row r="202" spans="21:56" hidden="1" x14ac:dyDescent="0.25">
      <c r="U202" s="135" t="s">
        <v>284</v>
      </c>
      <c r="V202" s="87" t="s">
        <v>179</v>
      </c>
      <c r="W202" s="85">
        <v>32</v>
      </c>
      <c r="X202" s="85">
        <v>1.25</v>
      </c>
      <c r="Y202" s="85">
        <v>572</v>
      </c>
      <c r="Z202" s="85">
        <v>1000</v>
      </c>
      <c r="AA202" s="87">
        <v>726</v>
      </c>
      <c r="AB202" s="138"/>
      <c r="AC202" s="138"/>
      <c r="AD202" s="308">
        <v>359.96535173204495</v>
      </c>
      <c r="AE202" s="309">
        <v>1000</v>
      </c>
      <c r="AF202" s="137">
        <v>360</v>
      </c>
      <c r="AG202" s="131">
        <v>1000</v>
      </c>
      <c r="AH202" s="125"/>
      <c r="AI202" s="132"/>
      <c r="AJ202" s="89"/>
      <c r="AS202" s="158" t="s">
        <v>284</v>
      </c>
      <c r="AT202" s="148">
        <v>8</v>
      </c>
      <c r="AU202" s="148">
        <v>1.75</v>
      </c>
      <c r="AV202" s="148" t="s">
        <v>33</v>
      </c>
      <c r="AW202" s="148" t="s">
        <v>33</v>
      </c>
      <c r="AX202" s="147" t="s">
        <v>33</v>
      </c>
      <c r="AY202" s="152" t="s">
        <v>33</v>
      </c>
      <c r="AZ202" s="152" t="s">
        <v>33</v>
      </c>
      <c r="BA202" s="337">
        <v>406.00117429056178</v>
      </c>
      <c r="BB202" s="338">
        <v>1500</v>
      </c>
      <c r="BC202" s="151">
        <v>430</v>
      </c>
      <c r="BD202" s="149">
        <v>1500</v>
      </c>
    </row>
    <row r="203" spans="21:56" hidden="1" x14ac:dyDescent="0.25">
      <c r="U203" s="135" t="s">
        <v>285</v>
      </c>
      <c r="V203" s="87" t="s">
        <v>180</v>
      </c>
      <c r="W203" s="85">
        <v>36</v>
      </c>
      <c r="X203" s="85">
        <v>1.25</v>
      </c>
      <c r="Y203" s="85">
        <v>563</v>
      </c>
      <c r="Z203" s="85">
        <v>1000</v>
      </c>
      <c r="AA203" s="87">
        <v>693</v>
      </c>
      <c r="AB203" s="138"/>
      <c r="AC203" s="138"/>
      <c r="AD203" s="308">
        <v>343.45317963424469</v>
      </c>
      <c r="AE203" s="309">
        <v>999.99999999999977</v>
      </c>
      <c r="AF203" s="137">
        <v>343</v>
      </c>
      <c r="AG203" s="131">
        <v>1000</v>
      </c>
      <c r="AH203" s="125"/>
      <c r="AI203" s="132"/>
      <c r="AJ203" s="89"/>
      <c r="AS203" s="158" t="s">
        <v>285</v>
      </c>
      <c r="AT203" s="148">
        <v>8</v>
      </c>
      <c r="AU203" s="148">
        <v>2</v>
      </c>
      <c r="AV203" s="148" t="s">
        <v>33</v>
      </c>
      <c r="AW203" s="148" t="s">
        <v>33</v>
      </c>
      <c r="AX203" s="147" t="s">
        <v>33</v>
      </c>
      <c r="AY203" s="152" t="s">
        <v>33</v>
      </c>
      <c r="AZ203" s="152" t="s">
        <v>33</v>
      </c>
      <c r="BA203" s="337">
        <v>573.91241996234271</v>
      </c>
      <c r="BB203" s="338">
        <v>2200</v>
      </c>
      <c r="BC203" s="151">
        <v>611</v>
      </c>
      <c r="BD203" s="149">
        <v>2200</v>
      </c>
    </row>
    <row r="204" spans="21:56" hidden="1" x14ac:dyDescent="0.25">
      <c r="U204" s="135" t="s">
        <v>286</v>
      </c>
      <c r="V204" s="87" t="s">
        <v>181</v>
      </c>
      <c r="W204" s="85">
        <v>36</v>
      </c>
      <c r="X204" s="85">
        <v>1.375</v>
      </c>
      <c r="Y204" s="85">
        <v>711</v>
      </c>
      <c r="Z204" s="85">
        <v>1320</v>
      </c>
      <c r="AA204" s="87">
        <v>880</v>
      </c>
      <c r="AB204" s="138"/>
      <c r="AC204" s="138"/>
      <c r="AD204" s="308">
        <v>401.38795026925862</v>
      </c>
      <c r="AE204" s="309">
        <v>1360</v>
      </c>
      <c r="AF204" s="137">
        <v>401</v>
      </c>
      <c r="AG204" s="131">
        <v>1204</v>
      </c>
      <c r="AH204" s="125"/>
      <c r="AI204" s="132"/>
      <c r="AJ204" s="89"/>
      <c r="AS204" s="158" t="s">
        <v>286</v>
      </c>
      <c r="AT204" s="148">
        <v>12</v>
      </c>
      <c r="AU204" s="148">
        <v>2</v>
      </c>
      <c r="AV204" s="148" t="s">
        <v>33</v>
      </c>
      <c r="AW204" s="148" t="s">
        <v>33</v>
      </c>
      <c r="AX204" s="147" t="s">
        <v>33</v>
      </c>
      <c r="AY204" s="152" t="s">
        <v>33</v>
      </c>
      <c r="AZ204" s="152" t="s">
        <v>33</v>
      </c>
      <c r="BA204" s="337">
        <v>529.37376209386832</v>
      </c>
      <c r="BB204" s="338">
        <v>2200</v>
      </c>
      <c r="BC204" s="151">
        <v>548</v>
      </c>
      <c r="BD204" s="149">
        <v>2200</v>
      </c>
    </row>
    <row r="205" spans="21:56" hidden="1" x14ac:dyDescent="0.25">
      <c r="U205" s="135" t="s">
        <v>287</v>
      </c>
      <c r="V205" s="87" t="s">
        <v>182</v>
      </c>
      <c r="W205" s="85">
        <v>32</v>
      </c>
      <c r="X205" s="85">
        <v>1.5</v>
      </c>
      <c r="Y205" s="85">
        <v>886</v>
      </c>
      <c r="Z205" s="85">
        <v>1600</v>
      </c>
      <c r="AA205" s="87">
        <v>1100</v>
      </c>
      <c r="AB205" s="138"/>
      <c r="AC205" s="138"/>
      <c r="AD205" s="308">
        <v>464.67062158300985</v>
      </c>
      <c r="AE205" s="309">
        <v>1599.9999999999998</v>
      </c>
      <c r="AF205" s="137">
        <v>465</v>
      </c>
      <c r="AG205" s="131">
        <v>1394</v>
      </c>
      <c r="AH205" s="125"/>
      <c r="AI205" s="132"/>
      <c r="AJ205" s="89"/>
      <c r="AS205" s="158" t="s">
        <v>287</v>
      </c>
      <c r="AT205" s="148">
        <v>12</v>
      </c>
      <c r="AU205" s="148">
        <v>2.5</v>
      </c>
      <c r="AV205" s="148" t="s">
        <v>33</v>
      </c>
      <c r="AW205" s="148" t="s">
        <v>33</v>
      </c>
      <c r="AX205" s="147" t="s">
        <v>33</v>
      </c>
      <c r="AY205" s="152" t="s">
        <v>33</v>
      </c>
      <c r="AZ205" s="152" t="s">
        <v>33</v>
      </c>
      <c r="BA205" s="337">
        <v>794.28538442172078</v>
      </c>
      <c r="BB205" s="338">
        <v>4400</v>
      </c>
      <c r="BC205" s="151">
        <v>831</v>
      </c>
      <c r="BD205" s="149">
        <v>4400</v>
      </c>
    </row>
    <row r="206" spans="21:56" hidden="1" x14ac:dyDescent="0.25">
      <c r="U206" s="135" t="s">
        <v>288</v>
      </c>
      <c r="V206" s="87" t="s">
        <v>183</v>
      </c>
      <c r="W206" s="85">
        <v>36</v>
      </c>
      <c r="X206" s="85">
        <v>1.5</v>
      </c>
      <c r="Y206" s="85">
        <v>856</v>
      </c>
      <c r="Z206" s="85">
        <v>1554</v>
      </c>
      <c r="AA206" s="87">
        <v>1036</v>
      </c>
      <c r="AB206" s="138"/>
      <c r="AC206" s="138"/>
      <c r="AD206" s="308">
        <v>437.88509703060578</v>
      </c>
      <c r="AE206" s="309">
        <v>1600</v>
      </c>
      <c r="AF206" s="137">
        <v>438</v>
      </c>
      <c r="AG206" s="131">
        <v>1314</v>
      </c>
      <c r="AH206" s="125"/>
      <c r="AI206" s="132"/>
      <c r="AJ206" s="89"/>
      <c r="AS206" s="158" t="s">
        <v>288</v>
      </c>
      <c r="AT206" s="148">
        <v>12</v>
      </c>
      <c r="AU206" s="148">
        <v>2.75</v>
      </c>
      <c r="AV206" s="148" t="s">
        <v>33</v>
      </c>
      <c r="AW206" s="148" t="s">
        <v>33</v>
      </c>
      <c r="AX206" s="147" t="s">
        <v>33</v>
      </c>
      <c r="AY206" s="152" t="s">
        <v>33</v>
      </c>
      <c r="AZ206" s="152" t="s">
        <v>33</v>
      </c>
      <c r="BA206" s="337">
        <v>874.90478048489285</v>
      </c>
      <c r="BB206" s="338">
        <v>5920</v>
      </c>
      <c r="BC206" s="151">
        <v>1326</v>
      </c>
      <c r="BD206" s="149">
        <v>5920</v>
      </c>
    </row>
  </sheetData>
  <sheetProtection password="D401" sheet="1" objects="1" scenarios="1" selectLockedCells="1"/>
  <sortState ref="V2:AG205">
    <sortCondition ref="V2:V205"/>
  </sortState>
  <mergeCells count="34">
    <mergeCell ref="K55:M55"/>
    <mergeCell ref="K57:M57"/>
    <mergeCell ref="AR1:AR22"/>
    <mergeCell ref="C3:O3"/>
    <mergeCell ref="F24:H24"/>
    <mergeCell ref="M24:N24"/>
    <mergeCell ref="K51:M51"/>
    <mergeCell ref="H8:M8"/>
    <mergeCell ref="F16:H16"/>
    <mergeCell ref="D6:M6"/>
    <mergeCell ref="E26:N26"/>
    <mergeCell ref="E30:N30"/>
    <mergeCell ref="E47:N47"/>
    <mergeCell ref="E53:N53"/>
    <mergeCell ref="C37:O37"/>
    <mergeCell ref="C38:O38"/>
    <mergeCell ref="K49:M49"/>
    <mergeCell ref="C33:N33"/>
    <mergeCell ref="H41:M41"/>
    <mergeCell ref="F28:H28"/>
    <mergeCell ref="M28:N28"/>
    <mergeCell ref="C36:O36"/>
    <mergeCell ref="F32:H32"/>
    <mergeCell ref="M32:N32"/>
    <mergeCell ref="H42:M42"/>
    <mergeCell ref="C5:O5"/>
    <mergeCell ref="C4:O4"/>
    <mergeCell ref="E14:N14"/>
    <mergeCell ref="E18:N18"/>
    <mergeCell ref="E22:N22"/>
    <mergeCell ref="M16:N16"/>
    <mergeCell ref="F20:H20"/>
    <mergeCell ref="M20:N20"/>
    <mergeCell ref="H9:M9"/>
  </mergeCells>
  <phoneticPr fontId="0" type="noConversion"/>
  <dataValidations count="2">
    <dataValidation type="list" allowBlank="1" showInputMessage="1" showErrorMessage="1" errorTitle="Please choice from the list" sqref="H41:I41">
      <formula1>$AI$3:$AI$85</formula1>
    </dataValidation>
    <dataValidation type="list" allowBlank="1" showInputMessage="1" showErrorMessage="1" errorTitle="Please choice from the list" promptTitle="Please choose from the list" sqref="H8:M8">
      <formula1>$U$3:$U$206</formula1>
    </dataValidation>
  </dataValidations>
  <printOptions horizontalCentered="1"/>
  <pageMargins left="0.25" right="0.25" top="1.25" bottom="0.25" header="0.5" footer="0.5"/>
  <pageSetup scale="65" fitToHeight="2" orientation="portrait" r:id="rId1"/>
  <headerFooter alignWithMargins="0">
    <oddHeader>&amp;CGarlock Sealing Technologies
1666 Division Street
Palmyra, NY  14522
(800) 448-6688</oddHeader>
    <oddFooter>&amp;A</oddFooter>
  </headerFooter>
  <rowBreaks count="1" manualBreakCount="1">
    <brk id="33" max="1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Q169"/>
  <sheetViews>
    <sheetView showGridLines="0" showRowColHeaders="0" zoomScale="85" zoomScaleNormal="85" workbookViewId="0">
      <pane ySplit="5" topLeftCell="A6" activePane="bottomLeft" state="frozen"/>
      <selection pane="bottomLeft" activeCell="F9" sqref="F9"/>
    </sheetView>
  </sheetViews>
  <sheetFormatPr defaultColWidth="0" defaultRowHeight="13.2" zeroHeight="1" x14ac:dyDescent="0.25"/>
  <cols>
    <col min="1" max="1" width="3" style="7" customWidth="1"/>
    <col min="2" max="2" width="12.109375" style="7" customWidth="1"/>
    <col min="3" max="3" width="12.44140625" style="7" customWidth="1"/>
    <col min="4" max="4" width="14.33203125" style="7" customWidth="1"/>
    <col min="5" max="5" width="4.88671875" style="7" customWidth="1"/>
    <col min="6" max="7" width="16.6640625" style="7" customWidth="1"/>
    <col min="8" max="8" width="16.88671875" style="7" customWidth="1"/>
    <col min="9" max="11" width="15.6640625" style="7" customWidth="1"/>
    <col min="12" max="12" width="10.77734375" style="7" customWidth="1"/>
    <col min="13" max="13" width="4" style="7" customWidth="1"/>
    <col min="14" max="14" width="20.109375" style="7" hidden="1" customWidth="1"/>
    <col min="15" max="15" width="15.6640625" style="7" hidden="1" customWidth="1"/>
    <col min="16" max="16" width="4.44140625" style="7" hidden="1" customWidth="1"/>
    <col min="17" max="41" width="8.88671875" style="7" hidden="1" customWidth="1"/>
    <col min="42" max="42" width="11.44140625" style="287" hidden="1" customWidth="1"/>
    <col min="43" max="43" width="11.44140625" style="7" hidden="1" customWidth="1"/>
    <col min="44" max="16384" width="8.88671875" style="7" hidden="1"/>
  </cols>
  <sheetData>
    <row r="1" spans="2:42" ht="108" customHeight="1" x14ac:dyDescent="0.25"/>
    <row r="2" spans="2:42" x14ac:dyDescent="0.25"/>
    <row r="3" spans="2:42" x14ac:dyDescent="0.25"/>
    <row r="4" spans="2:42" ht="27" customHeight="1" x14ac:dyDescent="0.25">
      <c r="B4" s="424" t="s">
        <v>413</v>
      </c>
      <c r="C4" s="425"/>
      <c r="D4" s="425"/>
      <c r="E4" s="425"/>
      <c r="F4" s="425"/>
      <c r="G4" s="425"/>
      <c r="H4" s="425"/>
      <c r="I4" s="425"/>
      <c r="J4" s="425"/>
      <c r="K4" s="425"/>
      <c r="L4" s="426"/>
      <c r="M4" s="240"/>
    </row>
    <row r="5" spans="2:42" ht="22.5" customHeight="1" x14ac:dyDescent="0.3">
      <c r="C5" s="423" t="s">
        <v>331</v>
      </c>
      <c r="D5" s="423"/>
      <c r="E5" s="423"/>
      <c r="F5" s="423"/>
      <c r="G5" s="423"/>
      <c r="H5" s="423"/>
      <c r="I5" s="423"/>
      <c r="J5" s="423"/>
      <c r="K5" s="423"/>
      <c r="L5" s="288"/>
      <c r="M5" s="288"/>
      <c r="N5" s="285"/>
      <c r="O5" s="285"/>
    </row>
    <row r="6" spans="2:42" ht="22.8" x14ac:dyDescent="0.25">
      <c r="D6" s="37"/>
      <c r="E6" s="9"/>
      <c r="F6" s="9"/>
      <c r="G6" s="9"/>
      <c r="H6" s="9"/>
      <c r="I6" s="9"/>
      <c r="J6" s="9"/>
    </row>
    <row r="7" spans="2:42" ht="17.25" customHeight="1" x14ac:dyDescent="0.25">
      <c r="D7" s="8"/>
      <c r="E7" s="9"/>
      <c r="F7" s="52"/>
      <c r="G7" s="9"/>
      <c r="H7" s="9"/>
      <c r="I7" s="9"/>
      <c r="J7" s="9"/>
      <c r="T7" s="51"/>
    </row>
    <row r="8" spans="2:42" ht="21.6" thickBot="1" x14ac:dyDescent="0.3">
      <c r="D8" s="22" t="s">
        <v>327</v>
      </c>
      <c r="G8" s="9"/>
      <c r="H8" s="9"/>
      <c r="I8" s="9"/>
      <c r="J8" s="120"/>
      <c r="T8" s="51" t="s">
        <v>329</v>
      </c>
    </row>
    <row r="9" spans="2:42" ht="18.75" customHeight="1" thickBot="1" x14ac:dyDescent="0.3">
      <c r="D9" s="40" t="s">
        <v>334</v>
      </c>
      <c r="F9" s="393"/>
      <c r="G9" s="23" t="s">
        <v>19</v>
      </c>
      <c r="M9" s="236"/>
      <c r="N9" s="237"/>
      <c r="O9" s="341"/>
      <c r="T9" s="51" t="s">
        <v>330</v>
      </c>
    </row>
    <row r="10" spans="2:42" ht="17.25" customHeight="1" x14ac:dyDescent="0.25">
      <c r="D10" s="9"/>
      <c r="F10" s="9"/>
      <c r="G10" s="9"/>
      <c r="N10" s="342"/>
      <c r="O10" s="342"/>
      <c r="T10" s="51"/>
    </row>
    <row r="11" spans="2:42" ht="21" x14ac:dyDescent="0.25">
      <c r="D11" s="10" t="s">
        <v>328</v>
      </c>
      <c r="F11" s="11" t="s">
        <v>2</v>
      </c>
      <c r="G11" s="11"/>
      <c r="N11" s="342"/>
      <c r="O11" s="342"/>
      <c r="T11" s="2"/>
      <c r="AP11" s="12"/>
    </row>
    <row r="12" spans="2:42" ht="5.25" customHeight="1" thickBot="1" x14ac:dyDescent="0.3">
      <c r="D12" s="13"/>
      <c r="F12" s="13"/>
      <c r="G12" s="13"/>
      <c r="N12" s="342"/>
      <c r="O12" s="342"/>
      <c r="T12" s="2"/>
      <c r="AP12" s="12"/>
    </row>
    <row r="13" spans="2:42" ht="18.75" customHeight="1" thickBot="1" x14ac:dyDescent="0.3">
      <c r="D13" s="40" t="s">
        <v>335</v>
      </c>
      <c r="F13" s="344"/>
      <c r="G13" s="13" t="s">
        <v>7</v>
      </c>
      <c r="M13" s="84"/>
      <c r="N13" s="342"/>
      <c r="O13" s="342"/>
      <c r="T13" s="2"/>
      <c r="AP13" s="12"/>
    </row>
    <row r="14" spans="2:42" ht="5.25" customHeight="1" thickBot="1" x14ac:dyDescent="0.3">
      <c r="D14" s="13"/>
      <c r="F14" s="13"/>
      <c r="G14" s="13"/>
      <c r="M14" s="84"/>
      <c r="N14" s="341"/>
      <c r="O14" s="341"/>
      <c r="T14" s="2"/>
      <c r="AP14" s="12"/>
    </row>
    <row r="15" spans="2:42" ht="18" thickBot="1" x14ac:dyDescent="0.35">
      <c r="D15" s="108" t="s">
        <v>336</v>
      </c>
      <c r="F15" s="345"/>
      <c r="G15" s="14" t="s">
        <v>3</v>
      </c>
      <c r="M15" s="84"/>
      <c r="N15" s="84"/>
      <c r="O15" s="84"/>
      <c r="P15" s="69"/>
      <c r="T15" s="2"/>
      <c r="AP15" s="12"/>
    </row>
    <row r="16" spans="2:42" ht="3.9" customHeight="1" thickBot="1" x14ac:dyDescent="0.35">
      <c r="D16" s="15"/>
      <c r="F16" s="13" t="s">
        <v>4</v>
      </c>
      <c r="G16" s="13"/>
      <c r="M16" s="84"/>
      <c r="N16" s="84"/>
      <c r="O16" s="84"/>
      <c r="P16" s="69"/>
      <c r="T16" s="2"/>
      <c r="AP16" s="12"/>
    </row>
    <row r="17" spans="4:42" ht="18" thickBot="1" x14ac:dyDescent="0.35">
      <c r="D17" s="108" t="s">
        <v>337</v>
      </c>
      <c r="F17" s="436"/>
      <c r="G17" s="437"/>
      <c r="M17" s="84"/>
      <c r="N17" s="84"/>
      <c r="O17" s="84"/>
      <c r="P17" s="69"/>
      <c r="T17" s="2"/>
      <c r="AP17" s="12"/>
    </row>
    <row r="18" spans="4:42" ht="3.9" customHeight="1" thickBot="1" x14ac:dyDescent="0.3">
      <c r="D18" s="15"/>
      <c r="F18" s="13" t="s">
        <v>4</v>
      </c>
      <c r="G18" s="13"/>
      <c r="M18" s="84"/>
      <c r="N18" s="84"/>
      <c r="O18" s="84"/>
      <c r="P18" s="91"/>
      <c r="T18" s="2"/>
      <c r="AP18" s="12"/>
    </row>
    <row r="19" spans="4:42" ht="18" thickBot="1" x14ac:dyDescent="0.3">
      <c r="D19" s="40" t="s">
        <v>338</v>
      </c>
      <c r="F19" s="346"/>
      <c r="M19" s="84"/>
      <c r="N19" s="84"/>
      <c r="O19" s="84"/>
      <c r="P19" s="92"/>
      <c r="T19" s="2"/>
      <c r="AP19" s="12"/>
    </row>
    <row r="20" spans="4:42" ht="3.9" customHeight="1" thickBot="1" x14ac:dyDescent="0.3">
      <c r="D20" s="15"/>
      <c r="F20" s="19"/>
      <c r="G20" s="13"/>
      <c r="M20" s="84"/>
      <c r="N20" s="84"/>
      <c r="O20" s="84"/>
      <c r="T20" s="2"/>
    </row>
    <row r="21" spans="4:42" ht="18" customHeight="1" thickBot="1" x14ac:dyDescent="0.35">
      <c r="D21" s="17" t="s">
        <v>82</v>
      </c>
      <c r="F21" s="106" t="e">
        <f>LOOKUP(F15,AE118:AE139,AF118:AF139)</f>
        <v>#N/A</v>
      </c>
      <c r="G21" s="14" t="s">
        <v>19</v>
      </c>
      <c r="M21" s="239"/>
      <c r="N21" s="175"/>
      <c r="O21" s="175"/>
      <c r="T21" s="2"/>
    </row>
    <row r="22" spans="4:42" ht="3.6" customHeight="1" thickBot="1" x14ac:dyDescent="0.35">
      <c r="D22" s="17"/>
      <c r="F22" s="281"/>
      <c r="G22" s="14"/>
      <c r="M22" s="239"/>
      <c r="N22" s="175"/>
      <c r="O22" s="175"/>
      <c r="T22" s="2"/>
    </row>
    <row r="23" spans="4:42" ht="18" customHeight="1" thickBot="1" x14ac:dyDescent="0.35">
      <c r="D23" s="17" t="s">
        <v>433</v>
      </c>
      <c r="F23" s="282" t="e">
        <f>VLOOKUP(F15,'BOLT TABLE'!B9:D30,3)</f>
        <v>#N/A</v>
      </c>
      <c r="G23" s="14"/>
      <c r="M23" s="239"/>
      <c r="N23" s="175"/>
      <c r="O23" s="175"/>
      <c r="T23" s="2"/>
    </row>
    <row r="24" spans="4:42" ht="3.6" customHeight="1" thickBot="1" x14ac:dyDescent="0.35">
      <c r="D24" s="17"/>
      <c r="F24" s="281"/>
      <c r="G24" s="14"/>
      <c r="M24" s="239"/>
      <c r="N24" s="175"/>
      <c r="O24" s="175"/>
      <c r="T24" s="2"/>
    </row>
    <row r="25" spans="4:42" ht="22.2" customHeight="1" thickBot="1" x14ac:dyDescent="0.35">
      <c r="D25" s="17" t="s">
        <v>434</v>
      </c>
      <c r="F25" s="347"/>
      <c r="G25" s="283" t="s">
        <v>435</v>
      </c>
      <c r="M25" s="175"/>
      <c r="N25" s="175"/>
      <c r="O25" s="280" t="e">
        <f>IF(F25=0,F23,IF(F25&gt;0,F25))</f>
        <v>#N/A</v>
      </c>
      <c r="P25" s="126" t="s">
        <v>432</v>
      </c>
      <c r="T25" s="2"/>
    </row>
    <row r="26" spans="4:42" ht="18" customHeight="1" x14ac:dyDescent="0.25">
      <c r="D26" s="18"/>
      <c r="F26" s="2"/>
      <c r="G26" s="2"/>
      <c r="M26" s="343"/>
      <c r="N26" s="343"/>
      <c r="O26" s="343"/>
      <c r="T26" s="2"/>
    </row>
    <row r="27" spans="4:42" ht="18" customHeight="1" x14ac:dyDescent="0.25">
      <c r="D27" s="22" t="s">
        <v>8</v>
      </c>
      <c r="F27" s="13"/>
      <c r="G27" s="13"/>
      <c r="M27" s="343"/>
      <c r="N27" s="343"/>
      <c r="O27" s="343"/>
      <c r="T27" s="2"/>
    </row>
    <row r="28" spans="4:42" ht="3.75" customHeight="1" thickBot="1" x14ac:dyDescent="0.3">
      <c r="D28" s="22"/>
      <c r="F28" s="13"/>
      <c r="G28" s="13"/>
      <c r="M28" s="343"/>
      <c r="N28" s="343"/>
      <c r="O28" s="343"/>
      <c r="T28" s="2"/>
    </row>
    <row r="29" spans="4:42" ht="18" customHeight="1" thickBot="1" x14ac:dyDescent="0.35">
      <c r="D29" s="15" t="s">
        <v>9</v>
      </c>
      <c r="F29" s="106" t="e">
        <f>(F31/(LOOKUP(F15,'BOLT TABLE'!B9:B30,'BOLT TABLE'!C9:C30)))</f>
        <v>#DIV/0!</v>
      </c>
      <c r="G29" s="13" t="s">
        <v>19</v>
      </c>
      <c r="M29" s="343"/>
      <c r="N29" s="343"/>
      <c r="O29" s="343"/>
      <c r="T29" s="2"/>
    </row>
    <row r="30" spans="4:42" ht="3.75" customHeight="1" thickBot="1" x14ac:dyDescent="0.3">
      <c r="D30" s="15"/>
      <c r="F30" s="13"/>
      <c r="G30" s="13"/>
      <c r="M30" s="343"/>
      <c r="N30" s="343"/>
      <c r="O30" s="343"/>
      <c r="T30" s="2"/>
    </row>
    <row r="31" spans="4:42" ht="18.75" customHeight="1" thickBot="1" x14ac:dyDescent="0.3">
      <c r="D31" s="15" t="s">
        <v>10</v>
      </c>
      <c r="F31" s="107" t="e">
        <f>(F9*F13/F19)</f>
        <v>#DIV/0!</v>
      </c>
      <c r="G31" s="23" t="s">
        <v>11</v>
      </c>
      <c r="M31" s="343"/>
      <c r="N31" s="343"/>
      <c r="O31" s="343"/>
      <c r="T31" s="2"/>
    </row>
    <row r="32" spans="4:42" ht="3.75" customHeight="1" thickBot="1" x14ac:dyDescent="0.3">
      <c r="D32" s="15"/>
      <c r="F32" s="13" t="s">
        <v>4</v>
      </c>
      <c r="G32" s="13" t="s">
        <v>4</v>
      </c>
      <c r="M32" s="343"/>
      <c r="N32" s="343"/>
      <c r="O32" s="343"/>
      <c r="T32" s="2"/>
    </row>
    <row r="33" spans="4:20" ht="18.75" customHeight="1" thickBot="1" x14ac:dyDescent="0.35">
      <c r="D33" s="24" t="s">
        <v>15</v>
      </c>
      <c r="F33" s="106" t="e">
        <f>(O25*F31*F15/12)</f>
        <v>#N/A</v>
      </c>
      <c r="G33" s="14" t="s">
        <v>16</v>
      </c>
      <c r="M33" s="343"/>
      <c r="N33" s="343"/>
      <c r="O33" s="343"/>
      <c r="T33" s="81"/>
    </row>
    <row r="34" spans="4:20" ht="3.75" customHeight="1" thickBot="1" x14ac:dyDescent="0.3">
      <c r="J34" s="2"/>
      <c r="K34" s="2"/>
      <c r="L34" s="2"/>
      <c r="M34" s="2"/>
      <c r="N34" s="2"/>
      <c r="O34" s="2"/>
      <c r="T34" s="81"/>
    </row>
    <row r="35" spans="4:20" ht="18.600000000000001" customHeight="1" thickBot="1" x14ac:dyDescent="0.35">
      <c r="D35" s="119" t="s">
        <v>436</v>
      </c>
      <c r="F35" s="284" t="e">
        <f>F29/F21</f>
        <v>#DIV/0!</v>
      </c>
      <c r="J35" s="2"/>
      <c r="K35" s="2"/>
      <c r="L35" s="2"/>
      <c r="M35" s="2"/>
      <c r="N35" s="2"/>
      <c r="O35" s="2"/>
      <c r="T35" s="81"/>
    </row>
    <row r="36" spans="4:20" ht="3.75" customHeight="1" x14ac:dyDescent="0.25">
      <c r="J36" s="2"/>
      <c r="K36" s="2"/>
      <c r="L36" s="2"/>
      <c r="M36" s="2"/>
      <c r="N36" s="2"/>
      <c r="O36" s="2"/>
      <c r="T36" s="81"/>
    </row>
    <row r="37" spans="4:20" ht="18.75" customHeight="1" x14ac:dyDescent="0.25">
      <c r="F37" s="18"/>
      <c r="G37" s="2"/>
      <c r="H37" s="2"/>
      <c r="I37" s="2"/>
      <c r="J37" s="2"/>
      <c r="K37" s="2"/>
      <c r="L37" s="2"/>
      <c r="M37" s="2"/>
      <c r="N37" s="2"/>
      <c r="O37" s="2"/>
      <c r="T37" s="81"/>
    </row>
    <row r="38" spans="4:20" ht="3.75" customHeight="1" x14ac:dyDescent="0.25">
      <c r="J38" s="13"/>
      <c r="T38" s="81"/>
    </row>
    <row r="39" spans="4:20" ht="18.75" customHeight="1" x14ac:dyDescent="0.25">
      <c r="D39" s="427" t="e">
        <f>IF(G51&lt;=0.75,$F$53,IF(G51&lt;=0.9,$F$54,IF(G51&lt;1,$F$55,IF(G51&gt;=1,$F$56))))</f>
        <v>#DIV/0!</v>
      </c>
      <c r="E39" s="428"/>
      <c r="F39" s="429"/>
      <c r="J39" s="13"/>
    </row>
    <row r="40" spans="4:20" ht="3.75" customHeight="1" x14ac:dyDescent="0.25">
      <c r="D40" s="430"/>
      <c r="E40" s="431"/>
      <c r="F40" s="432"/>
      <c r="J40" s="13"/>
    </row>
    <row r="41" spans="4:20" ht="3.9" customHeight="1" x14ac:dyDescent="0.25">
      <c r="D41" s="430"/>
      <c r="E41" s="431"/>
      <c r="F41" s="432"/>
      <c r="J41" s="13"/>
    </row>
    <row r="42" spans="4:20" ht="17.399999999999999" x14ac:dyDescent="0.25">
      <c r="D42" s="430"/>
      <c r="E42" s="431"/>
      <c r="F42" s="432"/>
      <c r="J42" s="13"/>
    </row>
    <row r="43" spans="4:20" ht="3.9" customHeight="1" x14ac:dyDescent="0.25">
      <c r="D43" s="433"/>
      <c r="E43" s="434"/>
      <c r="F43" s="435"/>
      <c r="J43" s="13"/>
      <c r="K43" s="2"/>
      <c r="L43" s="2"/>
      <c r="M43" s="2"/>
      <c r="N43" s="2"/>
      <c r="O43" s="2"/>
    </row>
    <row r="44" spans="4:20" ht="17.399999999999999" x14ac:dyDescent="0.25">
      <c r="D44" s="236"/>
      <c r="E44" s="236"/>
      <c r="F44" s="236"/>
      <c r="G44" s="13"/>
      <c r="J44" s="13"/>
      <c r="K44" s="41"/>
      <c r="L44" s="41"/>
      <c r="M44" s="41"/>
      <c r="N44" s="41"/>
      <c r="O44" s="41"/>
    </row>
    <row r="45" spans="4:20" ht="3.9" customHeight="1" x14ac:dyDescent="0.25">
      <c r="F45" s="15"/>
      <c r="G45" s="13"/>
      <c r="J45" s="13"/>
      <c r="K45" s="41"/>
      <c r="L45" s="41"/>
      <c r="M45" s="41"/>
      <c r="N45" s="41"/>
      <c r="O45" s="41"/>
    </row>
    <row r="46" spans="4:20" ht="17.399999999999999" hidden="1" x14ac:dyDescent="0.25">
      <c r="F46" s="15"/>
      <c r="G46" s="13"/>
      <c r="J46" s="13"/>
      <c r="K46" s="41"/>
      <c r="L46" s="41"/>
      <c r="M46" s="41"/>
      <c r="N46" s="41"/>
      <c r="O46" s="41"/>
    </row>
    <row r="47" spans="4:20" ht="3.9" hidden="1" customHeight="1" x14ac:dyDescent="0.25">
      <c r="F47" s="15"/>
      <c r="G47" s="13"/>
      <c r="J47" s="13"/>
    </row>
    <row r="48" spans="4:20" ht="17.399999999999999" hidden="1" x14ac:dyDescent="0.25">
      <c r="F48" s="20"/>
      <c r="G48" s="13"/>
      <c r="J48" s="13"/>
    </row>
    <row r="49" spans="4:23" ht="3.9" hidden="1" customHeight="1" x14ac:dyDescent="0.25">
      <c r="F49" s="18"/>
      <c r="G49" s="2"/>
      <c r="J49" s="2"/>
    </row>
    <row r="50" spans="4:23" hidden="1" x14ac:dyDescent="0.25">
      <c r="J50" s="2"/>
    </row>
    <row r="51" spans="4:23" ht="17.399999999999999" hidden="1" x14ac:dyDescent="0.3">
      <c r="E51" s="25"/>
      <c r="F51" s="241" t="s">
        <v>414</v>
      </c>
      <c r="G51" s="64" t="e">
        <f>F29/F21</f>
        <v>#DIV/0!</v>
      </c>
      <c r="J51" s="2"/>
    </row>
    <row r="52" spans="4:23" ht="17.399999999999999" hidden="1" x14ac:dyDescent="0.3">
      <c r="D52" s="33"/>
      <c r="E52" s="33"/>
      <c r="F52" s="33"/>
      <c r="G52" s="82"/>
      <c r="J52" s="82"/>
      <c r="K52" s="82"/>
      <c r="L52" s="82"/>
      <c r="M52" s="82"/>
      <c r="N52" s="82"/>
      <c r="O52" s="82"/>
    </row>
    <row r="53" spans="4:23" ht="17.399999999999999" hidden="1" x14ac:dyDescent="0.3">
      <c r="D53" s="83"/>
      <c r="E53" s="33"/>
      <c r="F53" s="126" t="s">
        <v>388</v>
      </c>
      <c r="G53" s="82"/>
      <c r="J53" s="82"/>
      <c r="K53" s="82"/>
      <c r="L53" s="82"/>
      <c r="M53" s="82"/>
      <c r="N53" s="82"/>
      <c r="O53" s="82"/>
    </row>
    <row r="54" spans="4:23" ht="17.399999999999999" hidden="1" x14ac:dyDescent="0.3">
      <c r="D54" s="83"/>
      <c r="E54" s="33"/>
      <c r="F54" s="126" t="s">
        <v>397</v>
      </c>
      <c r="G54" s="82"/>
      <c r="J54" s="82"/>
      <c r="K54" s="82"/>
      <c r="L54" s="82"/>
      <c r="M54" s="82"/>
      <c r="N54" s="82"/>
      <c r="O54" s="82"/>
    </row>
    <row r="55" spans="4:23" ht="17.399999999999999" hidden="1" x14ac:dyDescent="0.3">
      <c r="D55" s="83"/>
      <c r="E55" s="33"/>
      <c r="F55" s="126" t="s">
        <v>398</v>
      </c>
      <c r="G55" s="82"/>
      <c r="J55" s="82"/>
      <c r="K55" s="82"/>
      <c r="L55" s="82"/>
      <c r="M55" s="82"/>
      <c r="N55" s="82"/>
      <c r="O55" s="82"/>
    </row>
    <row r="56" spans="4:23" ht="17.399999999999999" hidden="1" x14ac:dyDescent="0.3">
      <c r="D56" s="25"/>
      <c r="E56" s="2"/>
      <c r="F56" s="126" t="s">
        <v>399</v>
      </c>
      <c r="G56" s="14"/>
      <c r="J56" s="2"/>
    </row>
    <row r="57" spans="4:23" ht="36" hidden="1" customHeight="1" x14ac:dyDescent="0.25">
      <c r="D57" s="42"/>
      <c r="E57" s="42"/>
      <c r="F57" s="42"/>
      <c r="G57" s="42"/>
      <c r="J57" s="339" t="str">
        <f>IF(H61&gt;15000,$W$57,"")</f>
        <v/>
      </c>
      <c r="K57" s="340"/>
      <c r="L57" s="340"/>
      <c r="M57" s="340"/>
      <c r="N57" s="340"/>
      <c r="O57" s="340"/>
      <c r="P57" s="340"/>
      <c r="T57" s="65">
        <v>1.5625E-2</v>
      </c>
      <c r="U57" s="7" t="e">
        <f>IF(#REF!&lt;=800,2500,IF(#REF!&lt;=800,4800,IF(#REF!&lt;=2000,7400)))</f>
        <v>#REF!</v>
      </c>
      <c r="W57" s="7" t="s">
        <v>326</v>
      </c>
    </row>
    <row r="58" spans="4:23" ht="17.399999999999999" hidden="1" x14ac:dyDescent="0.25">
      <c r="D58" s="38"/>
      <c r="E58" s="43"/>
      <c r="F58" s="43"/>
      <c r="G58" s="43"/>
      <c r="J58" s="43"/>
      <c r="K58" s="43"/>
      <c r="L58" s="43"/>
      <c r="M58" s="43"/>
      <c r="N58" s="43"/>
      <c r="O58" s="43"/>
      <c r="P58" s="43"/>
      <c r="T58" s="65">
        <v>3.125E-2</v>
      </c>
      <c r="U58" s="7" t="e">
        <f>IF(#REF!&lt;=800,2500,IF(#REF!&lt;=800,4800,IF(#REF!&lt;=2000,7400)))</f>
        <v>#REF!</v>
      </c>
    </row>
    <row r="59" spans="4:23" ht="15" hidden="1" x14ac:dyDescent="0.25">
      <c r="D59" s="2"/>
      <c r="E59" s="2"/>
      <c r="G59" s="2"/>
      <c r="J59" s="45"/>
      <c r="K59" s="45"/>
      <c r="L59" s="45"/>
      <c r="M59" s="45"/>
      <c r="N59" s="421"/>
      <c r="O59" s="422"/>
      <c r="P59" s="45"/>
      <c r="T59" s="65">
        <v>6.2E-2</v>
      </c>
      <c r="U59" s="7" t="e">
        <f>IF(#REF!&lt;=800,3600,IF(#REF!&lt;=800,5400,IF(#REF!&lt;=2000,8400)))</f>
        <v>#REF!</v>
      </c>
    </row>
    <row r="60" spans="4:23" ht="3.75" hidden="1" customHeight="1" x14ac:dyDescent="0.25">
      <c r="D60" s="38"/>
      <c r="E60" s="227"/>
      <c r="G60" s="2"/>
      <c r="J60" s="227"/>
      <c r="K60" s="46"/>
      <c r="L60" s="46"/>
      <c r="M60" s="46"/>
      <c r="N60" s="422"/>
      <c r="O60" s="422"/>
      <c r="P60" s="46"/>
      <c r="T60" s="65">
        <v>0.125</v>
      </c>
      <c r="U60" s="7" t="e">
        <f>IF(#REF!&lt;=800,4800,IF(#REF!&lt;=800,6400,IF(#REF!&lt;=2000,9400)))</f>
        <v>#REF!</v>
      </c>
    </row>
    <row r="61" spans="4:23" ht="18.75" hidden="1" customHeight="1" x14ac:dyDescent="0.25">
      <c r="D61" s="38"/>
      <c r="E61" s="227"/>
      <c r="G61" s="44"/>
      <c r="H61" s="74"/>
      <c r="I61" s="23"/>
      <c r="J61" s="46"/>
      <c r="K61" s="46"/>
      <c r="L61" s="46"/>
      <c r="M61" s="46"/>
      <c r="N61" s="422"/>
      <c r="O61" s="422"/>
      <c r="P61" s="46"/>
    </row>
    <row r="62" spans="4:23" ht="3.75" hidden="1" customHeight="1" x14ac:dyDescent="0.3">
      <c r="D62" s="38"/>
      <c r="E62" s="26"/>
      <c r="G62" s="93"/>
      <c r="H62" s="66"/>
      <c r="I62" s="55"/>
      <c r="J62" s="26"/>
      <c r="K62" s="39"/>
      <c r="L62" s="39"/>
      <c r="M62" s="39"/>
      <c r="N62" s="422"/>
      <c r="O62" s="422"/>
      <c r="P62" s="39"/>
      <c r="T62" s="7" t="e">
        <f>IF(#REF!&lt;301,2500,IF(#REF!&lt;801,4800,IF(#REF!&lt;2001,7400,IF(#REF!&gt;2000,$T$15))))</f>
        <v>#REF!</v>
      </c>
      <c r="U62" s="7" t="e">
        <f>IF(#REF!&lt;301,3600,IF(#REF!&lt;801,5400,IF(#REF!&lt;2001,8400,IF(#REF!&gt;2000,$T$15))))</f>
        <v>#REF!</v>
      </c>
      <c r="V62" s="7" t="e">
        <f>IF(#REF!&lt;301,4800,IF(#REF!&lt;801,6400,IF(#REF!&lt;2001,9400,IF(#REF!&gt;2000,$T$15))))</f>
        <v>#REF!</v>
      </c>
    </row>
    <row r="63" spans="4:23" ht="17.399999999999999" hidden="1" x14ac:dyDescent="0.3">
      <c r="D63" s="38"/>
      <c r="E63" s="26"/>
      <c r="F63" s="17"/>
      <c r="G63" s="89"/>
      <c r="H63" s="66"/>
      <c r="I63" s="75"/>
      <c r="J63" s="26"/>
      <c r="K63" s="39"/>
      <c r="L63" s="39"/>
      <c r="M63" s="39"/>
      <c r="N63" s="421"/>
      <c r="O63" s="422"/>
      <c r="P63" s="39"/>
    </row>
    <row r="64" spans="4:23" ht="3.75" hidden="1" customHeight="1" x14ac:dyDescent="0.3">
      <c r="D64" s="76"/>
      <c r="E64" s="94"/>
      <c r="F64" s="56"/>
      <c r="G64" s="93"/>
      <c r="H64" s="66"/>
      <c r="I64" s="77"/>
      <c r="J64" s="94"/>
      <c r="K64" s="94"/>
      <c r="L64" s="94"/>
      <c r="M64" s="94"/>
      <c r="N64" s="422"/>
      <c r="O64" s="422"/>
      <c r="P64" s="94"/>
    </row>
    <row r="65" spans="4:21" ht="17.399999999999999" hidden="1" x14ac:dyDescent="0.3">
      <c r="D65" s="94"/>
      <c r="E65" s="94"/>
      <c r="F65" s="56"/>
      <c r="G65" s="93"/>
      <c r="H65" s="66"/>
      <c r="I65" s="78"/>
      <c r="J65" s="94"/>
      <c r="K65" s="94"/>
      <c r="L65" s="94"/>
      <c r="M65" s="94"/>
      <c r="N65" s="422"/>
      <c r="O65" s="422"/>
      <c r="P65" s="94"/>
    </row>
    <row r="66" spans="4:21" ht="3.75" hidden="1" customHeight="1" x14ac:dyDescent="0.25">
      <c r="D66" s="2"/>
      <c r="E66" s="11"/>
      <c r="F66" s="95"/>
      <c r="G66" s="94"/>
      <c r="H66" s="96"/>
      <c r="I66" s="97"/>
      <c r="J66" s="2"/>
      <c r="K66" s="2"/>
      <c r="L66" s="2"/>
      <c r="M66" s="2"/>
      <c r="N66" s="422"/>
      <c r="O66" s="422"/>
      <c r="P66" s="2"/>
    </row>
    <row r="67" spans="4:21" ht="17.399999999999999" hidden="1" x14ac:dyDescent="0.25">
      <c r="D67" s="27"/>
      <c r="E67" s="27"/>
      <c r="F67" s="98"/>
      <c r="G67" s="94"/>
      <c r="H67" s="99"/>
      <c r="I67" s="100"/>
      <c r="J67" s="46"/>
      <c r="K67" s="2"/>
      <c r="L67" s="2"/>
      <c r="M67" s="2"/>
      <c r="N67" s="419"/>
      <c r="O67" s="419"/>
      <c r="P67" s="2"/>
    </row>
    <row r="68" spans="4:21" ht="3.75" hidden="1" customHeight="1" x14ac:dyDescent="0.25">
      <c r="D68" s="27"/>
      <c r="E68" s="27"/>
      <c r="F68" s="15"/>
      <c r="G68" s="11"/>
      <c r="H68" s="67"/>
      <c r="I68" s="13"/>
      <c r="J68" s="46"/>
      <c r="K68" s="2"/>
      <c r="L68" s="2"/>
      <c r="M68" s="2"/>
      <c r="N68" s="419"/>
      <c r="O68" s="419"/>
      <c r="P68" s="2"/>
    </row>
    <row r="69" spans="4:21" ht="21" hidden="1" customHeight="1" x14ac:dyDescent="0.3">
      <c r="D69" s="27"/>
      <c r="E69" s="27"/>
      <c r="F69" s="15"/>
      <c r="G69" s="27"/>
      <c r="H69" s="66"/>
      <c r="I69" s="23"/>
      <c r="J69" s="39"/>
      <c r="K69" s="2"/>
      <c r="L69" s="2"/>
      <c r="M69" s="2"/>
      <c r="N69" s="419"/>
      <c r="O69" s="419"/>
      <c r="P69" s="2"/>
    </row>
    <row r="70" spans="4:21" ht="3.75" hidden="1" customHeight="1" x14ac:dyDescent="0.3">
      <c r="D70" s="14"/>
      <c r="E70" s="11"/>
      <c r="F70" s="20"/>
      <c r="G70" s="27"/>
      <c r="H70" s="68"/>
      <c r="I70" s="79"/>
      <c r="J70" s="2"/>
      <c r="K70" s="2"/>
      <c r="L70" s="2"/>
      <c r="M70" s="2"/>
      <c r="N70" s="2"/>
      <c r="O70" s="2"/>
      <c r="P70" s="2"/>
    </row>
    <row r="71" spans="4:21" ht="21" hidden="1" x14ac:dyDescent="0.3">
      <c r="D71" s="42"/>
      <c r="E71" s="42"/>
      <c r="F71" s="15"/>
      <c r="G71" s="27"/>
      <c r="H71" s="66"/>
      <c r="I71" s="78"/>
      <c r="J71" s="2"/>
      <c r="K71" s="2"/>
      <c r="L71" s="2"/>
      <c r="M71" s="2"/>
      <c r="N71" s="2"/>
      <c r="O71" s="2"/>
      <c r="P71" s="2"/>
    </row>
    <row r="72" spans="4:21" ht="3.75" hidden="1" customHeight="1" x14ac:dyDescent="0.25">
      <c r="D72" s="38"/>
      <c r="E72" s="43"/>
      <c r="F72" s="20"/>
      <c r="G72" s="43"/>
      <c r="H72" s="80"/>
      <c r="I72" s="43"/>
      <c r="J72" s="43"/>
      <c r="K72" s="43"/>
      <c r="L72" s="43"/>
      <c r="M72" s="43"/>
      <c r="N72" s="43"/>
      <c r="O72" s="43"/>
      <c r="P72" s="43"/>
    </row>
    <row r="73" spans="4:21" ht="18.75" hidden="1" customHeight="1" x14ac:dyDescent="0.25">
      <c r="D73" s="38"/>
      <c r="E73" s="44"/>
      <c r="F73" s="48"/>
      <c r="G73" s="44"/>
      <c r="H73" s="44"/>
      <c r="I73" s="45"/>
      <c r="J73" s="45"/>
      <c r="K73" s="45"/>
      <c r="L73" s="45"/>
      <c r="M73" s="45"/>
      <c r="N73" s="45"/>
      <c r="O73" s="45"/>
      <c r="P73" s="45"/>
    </row>
    <row r="74" spans="4:21" ht="36" hidden="1" customHeight="1" x14ac:dyDescent="0.25">
      <c r="D74" s="42"/>
      <c r="E74" s="42"/>
      <c r="F74" s="42"/>
      <c r="G74" s="42"/>
      <c r="H74" s="42"/>
      <c r="I74" s="42"/>
      <c r="J74" s="339"/>
      <c r="K74" s="340"/>
      <c r="L74" s="340"/>
      <c r="M74" s="340"/>
      <c r="N74" s="340"/>
      <c r="O74" s="340"/>
      <c r="P74" s="340"/>
      <c r="T74" s="65">
        <v>1.5625E-2</v>
      </c>
      <c r="U74" s="7" t="e">
        <f>IF(#REF!&lt;=800,2500,IF(#REF!&lt;=800,4800,IF(#REF!&lt;=2000,7400)))</f>
        <v>#REF!</v>
      </c>
    </row>
    <row r="75" spans="4:21" ht="18.75" hidden="1" customHeight="1" x14ac:dyDescent="0.25">
      <c r="D75" s="38"/>
      <c r="E75" s="43"/>
      <c r="F75" s="43"/>
      <c r="G75" s="43"/>
      <c r="H75" s="43"/>
      <c r="I75" s="43"/>
      <c r="J75" s="43"/>
      <c r="K75" s="43"/>
      <c r="L75" s="43"/>
      <c r="M75" s="43"/>
      <c r="N75" s="43"/>
      <c r="O75" s="43"/>
      <c r="P75" s="43"/>
      <c r="T75" s="65">
        <v>3.125E-2</v>
      </c>
      <c r="U75" s="7" t="e">
        <f>IF(#REF!&lt;=800,2500,IF(#REF!&lt;=800,4800,IF(#REF!&lt;=2000,7400)))</f>
        <v>#REF!</v>
      </c>
    </row>
    <row r="76" spans="4:21" ht="18.75" hidden="1" customHeight="1" x14ac:dyDescent="0.3">
      <c r="D76" s="2"/>
      <c r="E76" s="2"/>
      <c r="F76" s="17"/>
      <c r="G76" s="2"/>
      <c r="H76" s="73"/>
      <c r="I76" s="14"/>
      <c r="J76" s="45"/>
      <c r="K76" s="45"/>
      <c r="L76" s="45"/>
      <c r="M76" s="45"/>
      <c r="N76" s="421"/>
      <c r="O76" s="422"/>
      <c r="P76" s="45"/>
      <c r="T76" s="65">
        <v>6.2E-2</v>
      </c>
      <c r="U76" s="7" t="e">
        <f>IF(#REF!&lt;=800,3600,IF(#REF!&lt;=800,5400,IF(#REF!&lt;=2000,8400)))</f>
        <v>#REF!</v>
      </c>
    </row>
    <row r="77" spans="4:21" ht="3.75" hidden="1" customHeight="1" x14ac:dyDescent="0.3">
      <c r="D77" s="38"/>
      <c r="E77" s="227"/>
      <c r="F77" s="14"/>
      <c r="G77" s="2"/>
      <c r="H77" s="57"/>
      <c r="I77" s="14"/>
      <c r="J77" s="227"/>
      <c r="K77" s="46"/>
      <c r="L77" s="46"/>
      <c r="M77" s="46"/>
      <c r="N77" s="422"/>
      <c r="O77" s="422"/>
      <c r="P77" s="46"/>
      <c r="T77" s="65">
        <v>0.125</v>
      </c>
      <c r="U77" s="7" t="e">
        <f>IF(#REF!&lt;=800,4800,IF(#REF!&lt;=800,6400,IF(#REF!&lt;=2000,9400)))</f>
        <v>#REF!</v>
      </c>
    </row>
    <row r="78" spans="4:21" ht="18.75" hidden="1" customHeight="1" x14ac:dyDescent="0.25">
      <c r="D78" s="38"/>
      <c r="E78" s="227"/>
      <c r="F78" s="15"/>
      <c r="G78" s="44"/>
      <c r="H78" s="74"/>
      <c r="I78" s="23"/>
      <c r="J78" s="46"/>
      <c r="K78" s="46"/>
      <c r="L78" s="46"/>
      <c r="M78" s="46"/>
      <c r="N78" s="422"/>
      <c r="O78" s="422"/>
      <c r="P78" s="46"/>
    </row>
    <row r="79" spans="4:21" ht="3.75" hidden="1" customHeight="1" x14ac:dyDescent="0.3">
      <c r="D79" s="38"/>
      <c r="E79" s="26"/>
      <c r="F79" s="55"/>
      <c r="G79" s="93"/>
      <c r="H79" s="66"/>
      <c r="I79" s="55"/>
      <c r="J79" s="26"/>
      <c r="K79" s="39"/>
      <c r="L79" s="39"/>
      <c r="M79" s="39"/>
      <c r="N79" s="422"/>
      <c r="O79" s="422"/>
      <c r="P79" s="39"/>
      <c r="T79" s="7" t="e">
        <f>IF(#REF!&lt;301,2500,IF(#REF!&lt;801,4800,IF(#REF!&lt;2001,7400,IF(#REF!&gt;2000,$T$15))))</f>
        <v>#REF!</v>
      </c>
      <c r="U79" s="7" t="e">
        <f>IF(#REF!&lt;301,3600,IF(#REF!&lt;801,5400,IF(#REF!&lt;2001,8400,IF(#REF!&gt;2000,$T$15))))</f>
        <v>#REF!</v>
      </c>
    </row>
    <row r="80" spans="4:21" ht="18.75" hidden="1" customHeight="1" x14ac:dyDescent="0.3">
      <c r="D80" s="38"/>
      <c r="E80" s="26"/>
      <c r="F80" s="17"/>
      <c r="G80" s="89"/>
      <c r="H80" s="66"/>
      <c r="I80" s="75"/>
      <c r="J80" s="26"/>
      <c r="K80" s="39"/>
      <c r="L80" s="39"/>
      <c r="M80" s="39"/>
      <c r="N80" s="421"/>
      <c r="O80" s="422"/>
      <c r="P80" s="39"/>
    </row>
    <row r="81" spans="4:16" ht="3.75" hidden="1" customHeight="1" x14ac:dyDescent="0.3">
      <c r="D81" s="76"/>
      <c r="E81" s="94"/>
      <c r="F81" s="56"/>
      <c r="G81" s="93"/>
      <c r="H81" s="66"/>
      <c r="I81" s="77"/>
      <c r="J81" s="94"/>
      <c r="K81" s="94"/>
      <c r="L81" s="94"/>
      <c r="M81" s="94"/>
      <c r="N81" s="422"/>
      <c r="O81" s="422"/>
      <c r="P81" s="94"/>
    </row>
    <row r="82" spans="4:16" ht="18.75" hidden="1" customHeight="1" x14ac:dyDescent="0.3">
      <c r="D82" s="94"/>
      <c r="E82" s="94"/>
      <c r="F82" s="56"/>
      <c r="G82" s="93"/>
      <c r="H82" s="66"/>
      <c r="I82" s="78"/>
      <c r="J82" s="94"/>
      <c r="K82" s="94"/>
      <c r="L82" s="94"/>
      <c r="M82" s="94"/>
      <c r="N82" s="422"/>
      <c r="O82" s="422"/>
      <c r="P82" s="94"/>
    </row>
    <row r="83" spans="4:16" ht="3.75" hidden="1" customHeight="1" x14ac:dyDescent="0.25">
      <c r="D83" s="2"/>
      <c r="E83" s="11"/>
      <c r="F83" s="95"/>
      <c r="G83" s="94"/>
      <c r="H83" s="96"/>
      <c r="I83" s="97"/>
      <c r="J83" s="2"/>
      <c r="K83" s="2"/>
      <c r="L83" s="2"/>
      <c r="M83" s="2"/>
      <c r="N83" s="422"/>
      <c r="O83" s="422"/>
      <c r="P83" s="2"/>
    </row>
    <row r="84" spans="4:16" ht="18.75" hidden="1" customHeight="1" x14ac:dyDescent="0.25">
      <c r="D84" s="27"/>
      <c r="E84" s="27"/>
      <c r="F84" s="98"/>
      <c r="G84" s="94"/>
      <c r="H84" s="99"/>
      <c r="I84" s="100"/>
      <c r="J84" s="46"/>
      <c r="K84" s="2"/>
      <c r="L84" s="2"/>
      <c r="M84" s="2"/>
      <c r="N84" s="419"/>
      <c r="O84" s="419"/>
      <c r="P84" s="2"/>
    </row>
    <row r="85" spans="4:16" ht="3.75" hidden="1" customHeight="1" x14ac:dyDescent="0.25">
      <c r="D85" s="27"/>
      <c r="E85" s="27"/>
      <c r="F85" s="15"/>
      <c r="G85" s="11"/>
      <c r="H85" s="67"/>
      <c r="I85" s="13"/>
      <c r="J85" s="46"/>
      <c r="K85" s="2"/>
      <c r="L85" s="2"/>
      <c r="M85" s="2"/>
      <c r="N85" s="419"/>
      <c r="O85" s="419"/>
      <c r="P85" s="2"/>
    </row>
    <row r="86" spans="4:16" ht="18.75" hidden="1" customHeight="1" x14ac:dyDescent="0.3">
      <c r="D86" s="27"/>
      <c r="E86" s="27"/>
      <c r="F86" s="15"/>
      <c r="G86" s="27"/>
      <c r="H86" s="66"/>
      <c r="I86" s="23"/>
      <c r="J86" s="39"/>
      <c r="K86" s="2"/>
      <c r="L86" s="2"/>
      <c r="M86" s="2"/>
      <c r="N86" s="419"/>
      <c r="O86" s="419"/>
      <c r="P86" s="2"/>
    </row>
    <row r="87" spans="4:16" ht="3.75" hidden="1" customHeight="1" x14ac:dyDescent="0.3">
      <c r="D87" s="14"/>
      <c r="E87" s="11"/>
      <c r="F87" s="20"/>
      <c r="G87" s="27"/>
      <c r="H87" s="68"/>
      <c r="I87" s="79"/>
      <c r="J87" s="2"/>
      <c r="K87" s="2"/>
      <c r="L87" s="2"/>
      <c r="M87" s="2"/>
      <c r="N87" s="2"/>
      <c r="O87" s="2"/>
      <c r="P87" s="2"/>
    </row>
    <row r="88" spans="4:16" ht="18.75" hidden="1" customHeight="1" x14ac:dyDescent="0.3">
      <c r="D88" s="42"/>
      <c r="E88" s="42"/>
      <c r="F88" s="15"/>
      <c r="G88" s="27"/>
      <c r="H88" s="66"/>
      <c r="I88" s="78"/>
      <c r="J88" s="2"/>
      <c r="K88" s="2"/>
      <c r="L88" s="2"/>
      <c r="M88" s="2"/>
      <c r="N88" s="2"/>
      <c r="O88" s="2"/>
      <c r="P88" s="2"/>
    </row>
    <row r="89" spans="4:16" ht="3.75" hidden="1" customHeight="1" x14ac:dyDescent="0.25">
      <c r="D89" s="38"/>
      <c r="E89" s="43"/>
      <c r="F89" s="20"/>
      <c r="G89" s="43"/>
      <c r="H89" s="80"/>
      <c r="I89" s="43"/>
      <c r="J89" s="43"/>
      <c r="K89" s="43"/>
      <c r="L89" s="43"/>
      <c r="M89" s="43"/>
      <c r="N89" s="43"/>
      <c r="O89" s="43"/>
      <c r="P89" s="43"/>
    </row>
    <row r="90" spans="4:16" ht="18.75" hidden="1" customHeight="1" x14ac:dyDescent="0.25">
      <c r="D90" s="2"/>
      <c r="E90" s="11"/>
      <c r="F90" s="47"/>
      <c r="G90" s="11"/>
      <c r="H90" s="11"/>
      <c r="I90" s="11"/>
      <c r="J90" s="2"/>
      <c r="K90" s="2"/>
      <c r="L90" s="2"/>
      <c r="M90" s="2"/>
      <c r="N90" s="2"/>
      <c r="O90" s="2"/>
      <c r="P90" s="2"/>
    </row>
    <row r="91" spans="4:16" ht="36" hidden="1" customHeight="1" x14ac:dyDescent="0.25">
      <c r="D91" s="42"/>
      <c r="E91" s="42"/>
      <c r="F91" s="42"/>
      <c r="G91" s="42"/>
      <c r="H91" s="42"/>
      <c r="I91" s="42"/>
      <c r="J91" s="339"/>
      <c r="K91" s="340"/>
      <c r="L91" s="340"/>
      <c r="M91" s="340"/>
      <c r="N91" s="340"/>
      <c r="O91" s="340"/>
      <c r="P91" s="340"/>
    </row>
    <row r="92" spans="4:16" ht="18.75" hidden="1" customHeight="1" x14ac:dyDescent="0.25">
      <c r="D92" s="38"/>
      <c r="E92" s="43"/>
      <c r="F92" s="43"/>
      <c r="G92" s="43"/>
      <c r="H92" s="43"/>
      <c r="I92" s="43"/>
      <c r="J92" s="43"/>
      <c r="K92" s="43"/>
      <c r="L92" s="43"/>
      <c r="M92" s="43"/>
      <c r="N92" s="43"/>
      <c r="O92" s="43"/>
      <c r="P92" s="43"/>
    </row>
    <row r="93" spans="4:16" ht="18.75" hidden="1" customHeight="1" x14ac:dyDescent="0.3">
      <c r="D93" s="2"/>
      <c r="E93" s="2"/>
      <c r="F93" s="17"/>
      <c r="G93" s="2"/>
      <c r="H93" s="73"/>
      <c r="I93" s="14"/>
      <c r="J93" s="45"/>
      <c r="K93" s="45"/>
      <c r="L93" s="45"/>
      <c r="M93" s="45"/>
      <c r="N93" s="421"/>
      <c r="O93" s="422"/>
      <c r="P93" s="45"/>
    </row>
    <row r="94" spans="4:16" ht="3.75" hidden="1" customHeight="1" x14ac:dyDescent="0.3">
      <c r="D94" s="38"/>
      <c r="E94" s="227"/>
      <c r="F94" s="14"/>
      <c r="G94" s="2"/>
      <c r="H94" s="57"/>
      <c r="I94" s="14"/>
      <c r="J94" s="227"/>
      <c r="K94" s="46"/>
      <c r="L94" s="46"/>
      <c r="M94" s="46"/>
      <c r="N94" s="422"/>
      <c r="O94" s="422"/>
      <c r="P94" s="46"/>
    </row>
    <row r="95" spans="4:16" ht="18.75" hidden="1" customHeight="1" x14ac:dyDescent="0.25">
      <c r="D95" s="38"/>
      <c r="E95" s="227"/>
      <c r="F95" s="15"/>
      <c r="G95" s="44"/>
      <c r="H95" s="74"/>
      <c r="I95" s="23"/>
      <c r="J95" s="46"/>
      <c r="K95" s="46"/>
      <c r="L95" s="46"/>
      <c r="M95" s="46"/>
      <c r="N95" s="422"/>
      <c r="O95" s="422"/>
      <c r="P95" s="46"/>
    </row>
    <row r="96" spans="4:16" ht="3.75" hidden="1" customHeight="1" x14ac:dyDescent="0.3">
      <c r="D96" s="38"/>
      <c r="E96" s="26"/>
      <c r="F96" s="55"/>
      <c r="G96" s="93"/>
      <c r="H96" s="66"/>
      <c r="I96" s="55"/>
      <c r="J96" s="26"/>
      <c r="K96" s="39"/>
      <c r="L96" s="39"/>
      <c r="M96" s="39"/>
      <c r="N96" s="422"/>
      <c r="O96" s="422"/>
      <c r="P96" s="39"/>
    </row>
    <row r="97" spans="4:42" ht="18.75" hidden="1" customHeight="1" x14ac:dyDescent="0.3">
      <c r="D97" s="38"/>
      <c r="E97" s="26"/>
      <c r="F97" s="17"/>
      <c r="G97" s="89"/>
      <c r="H97" s="66"/>
      <c r="I97" s="75"/>
      <c r="J97" s="26"/>
      <c r="K97" s="39"/>
      <c r="L97" s="39"/>
      <c r="M97" s="39"/>
      <c r="N97" s="421"/>
      <c r="O97" s="422"/>
      <c r="P97" s="39"/>
    </row>
    <row r="98" spans="4:42" ht="3.75" hidden="1" customHeight="1" x14ac:dyDescent="0.3">
      <c r="D98" s="76"/>
      <c r="E98" s="94"/>
      <c r="F98" s="56"/>
      <c r="G98" s="93"/>
      <c r="H98" s="66"/>
      <c r="I98" s="77"/>
      <c r="J98" s="94"/>
      <c r="K98" s="94"/>
      <c r="L98" s="94"/>
      <c r="M98" s="94"/>
      <c r="N98" s="422"/>
      <c r="O98" s="422"/>
      <c r="P98" s="94"/>
    </row>
    <row r="99" spans="4:42" ht="18.75" hidden="1" customHeight="1" x14ac:dyDescent="0.3">
      <c r="D99" s="94"/>
      <c r="E99" s="94"/>
      <c r="F99" s="56"/>
      <c r="G99" s="93"/>
      <c r="H99" s="66"/>
      <c r="I99" s="78"/>
      <c r="J99" s="94"/>
      <c r="K99" s="94"/>
      <c r="L99" s="94"/>
      <c r="M99" s="94"/>
      <c r="N99" s="422"/>
      <c r="O99" s="422"/>
      <c r="P99" s="94"/>
    </row>
    <row r="100" spans="4:42" ht="3.75" hidden="1" customHeight="1" x14ac:dyDescent="0.25">
      <c r="D100" s="2"/>
      <c r="E100" s="11"/>
      <c r="F100" s="95"/>
      <c r="G100" s="94"/>
      <c r="H100" s="96"/>
      <c r="I100" s="97"/>
      <c r="J100" s="2"/>
      <c r="K100" s="2"/>
      <c r="L100" s="2"/>
      <c r="M100" s="2"/>
      <c r="N100" s="422"/>
      <c r="O100" s="422"/>
      <c r="P100" s="2"/>
    </row>
    <row r="101" spans="4:42" ht="18.75" hidden="1" customHeight="1" x14ac:dyDescent="0.25">
      <c r="D101" s="27"/>
      <c r="E101" s="27"/>
      <c r="F101" s="98"/>
      <c r="G101" s="94"/>
      <c r="H101" s="99"/>
      <c r="I101" s="100"/>
      <c r="J101" s="46"/>
      <c r="K101" s="2"/>
      <c r="L101" s="2"/>
      <c r="M101" s="2"/>
      <c r="N101" s="419"/>
      <c r="O101" s="419"/>
      <c r="P101" s="2"/>
    </row>
    <row r="102" spans="4:42" ht="3.75" hidden="1" customHeight="1" x14ac:dyDescent="0.25">
      <c r="D102" s="27"/>
      <c r="E102" s="27"/>
      <c r="F102" s="15"/>
      <c r="G102" s="11"/>
      <c r="H102" s="67"/>
      <c r="I102" s="13"/>
      <c r="J102" s="46"/>
      <c r="K102" s="2"/>
      <c r="L102" s="2"/>
      <c r="M102" s="2"/>
      <c r="N102" s="419"/>
      <c r="O102" s="419"/>
      <c r="P102" s="2"/>
    </row>
    <row r="103" spans="4:42" ht="18.75" hidden="1" customHeight="1" x14ac:dyDescent="0.3">
      <c r="D103" s="27"/>
      <c r="E103" s="27"/>
      <c r="F103" s="15"/>
      <c r="G103" s="27"/>
      <c r="H103" s="66"/>
      <c r="I103" s="23"/>
      <c r="J103" s="39"/>
      <c r="K103" s="2"/>
      <c r="L103" s="2"/>
      <c r="M103" s="2"/>
      <c r="N103" s="419"/>
      <c r="O103" s="419"/>
      <c r="P103" s="2"/>
    </row>
    <row r="104" spans="4:42" ht="3.75" hidden="1" customHeight="1" x14ac:dyDescent="0.3">
      <c r="D104" s="14"/>
      <c r="E104" s="11"/>
      <c r="F104" s="20"/>
      <c r="G104" s="27"/>
      <c r="H104" s="68"/>
      <c r="I104" s="79"/>
      <c r="J104" s="2"/>
      <c r="K104" s="2"/>
      <c r="L104" s="2"/>
      <c r="M104" s="2"/>
      <c r="N104" s="2"/>
      <c r="O104" s="2"/>
      <c r="P104" s="2"/>
    </row>
    <row r="105" spans="4:42" ht="18" hidden="1" customHeight="1" x14ac:dyDescent="0.3">
      <c r="D105" s="42"/>
      <c r="E105" s="42"/>
      <c r="F105" s="15"/>
      <c r="G105" s="27"/>
      <c r="H105" s="66"/>
      <c r="I105" s="78"/>
      <c r="J105" s="2"/>
      <c r="K105" s="2"/>
      <c r="L105" s="2"/>
      <c r="M105" s="2"/>
      <c r="N105" s="2"/>
      <c r="O105" s="2"/>
      <c r="P105" s="2"/>
    </row>
    <row r="106" spans="4:42" ht="3.75" hidden="1" customHeight="1" x14ac:dyDescent="0.25">
      <c r="D106" s="38"/>
      <c r="E106" s="43"/>
      <c r="F106" s="20"/>
      <c r="G106" s="43"/>
      <c r="H106" s="80"/>
      <c r="I106" s="43"/>
      <c r="J106" s="43"/>
      <c r="K106" s="43"/>
      <c r="L106" s="43"/>
      <c r="M106" s="43"/>
      <c r="N106" s="43"/>
      <c r="O106" s="43"/>
      <c r="P106" s="43"/>
    </row>
    <row r="107" spans="4:42" ht="18.75" hidden="1" customHeight="1" x14ac:dyDescent="0.25">
      <c r="D107" s="2"/>
      <c r="E107" s="2"/>
      <c r="F107" s="18"/>
      <c r="G107" s="84"/>
      <c r="H107" s="2"/>
      <c r="I107" s="2"/>
    </row>
    <row r="108" spans="4:42" ht="36" hidden="1" customHeight="1" x14ac:dyDescent="0.25">
      <c r="D108" s="42"/>
      <c r="E108" s="42"/>
      <c r="F108" s="42"/>
      <c r="G108" s="42"/>
      <c r="H108" s="42"/>
      <c r="I108" s="42"/>
      <c r="J108" s="339"/>
      <c r="K108" s="340"/>
      <c r="L108" s="340"/>
      <c r="M108" s="340"/>
      <c r="N108" s="340"/>
      <c r="O108" s="340"/>
      <c r="P108" s="340"/>
    </row>
    <row r="109" spans="4:42" s="71" customFormat="1" ht="18.75" hidden="1" customHeight="1" x14ac:dyDescent="0.3">
      <c r="D109" s="30"/>
      <c r="E109" s="30"/>
      <c r="F109" s="30"/>
      <c r="G109" s="30"/>
      <c r="H109" s="30"/>
      <c r="I109" s="30"/>
      <c r="J109" s="14"/>
      <c r="N109" s="420"/>
      <c r="O109" s="419"/>
      <c r="AP109" s="72"/>
    </row>
    <row r="110" spans="4:42" ht="18.75" hidden="1" customHeight="1" x14ac:dyDescent="0.25">
      <c r="D110" s="42"/>
      <c r="E110" s="42"/>
      <c r="F110" s="15"/>
      <c r="G110" s="42"/>
      <c r="H110" s="13"/>
      <c r="I110" s="13"/>
      <c r="J110" s="2"/>
      <c r="N110" s="419"/>
      <c r="O110" s="419"/>
      <c r="T110" s="7" t="s">
        <v>325</v>
      </c>
    </row>
    <row r="111" spans="4:42" ht="3.75" hidden="1" customHeight="1" x14ac:dyDescent="0.25">
      <c r="D111" s="38"/>
      <c r="E111" s="43"/>
      <c r="F111" s="43"/>
      <c r="G111" s="43"/>
      <c r="H111" s="43"/>
      <c r="I111" s="43"/>
      <c r="J111" s="43"/>
      <c r="K111" s="43"/>
      <c r="L111" s="43"/>
      <c r="M111" s="43"/>
      <c r="N111" s="43"/>
      <c r="O111" s="43"/>
      <c r="P111" s="43"/>
    </row>
    <row r="112" spans="4:42" ht="18.75" hidden="1" customHeight="1" x14ac:dyDescent="0.3">
      <c r="D112" s="2"/>
      <c r="E112" s="2"/>
      <c r="F112" s="17"/>
      <c r="G112" s="2"/>
      <c r="H112" s="73"/>
      <c r="I112" s="14"/>
      <c r="J112" s="45"/>
      <c r="K112" s="45"/>
      <c r="L112" s="45"/>
      <c r="M112" s="45"/>
      <c r="N112" s="421"/>
      <c r="O112" s="422"/>
      <c r="P112" s="45"/>
    </row>
    <row r="113" spans="4:32" ht="3.75" hidden="1" customHeight="1" x14ac:dyDescent="0.3">
      <c r="D113" s="38"/>
      <c r="E113" s="227"/>
      <c r="F113" s="14"/>
      <c r="G113" s="2"/>
      <c r="H113" s="57"/>
      <c r="I113" s="14"/>
      <c r="J113" s="227"/>
      <c r="K113" s="46"/>
      <c r="L113" s="46"/>
      <c r="M113" s="46"/>
      <c r="N113" s="422"/>
      <c r="O113" s="422"/>
      <c r="P113" s="46"/>
    </row>
    <row r="114" spans="4:32" ht="18.75" hidden="1" customHeight="1" x14ac:dyDescent="0.25">
      <c r="D114" s="38"/>
      <c r="E114" s="227"/>
      <c r="F114" s="15"/>
      <c r="G114" s="44"/>
      <c r="H114" s="74"/>
      <c r="I114" s="23"/>
      <c r="J114" s="46"/>
      <c r="K114" s="46"/>
      <c r="L114" s="46"/>
      <c r="M114" s="46"/>
      <c r="N114" s="422"/>
      <c r="O114" s="422"/>
      <c r="P114" s="46"/>
    </row>
    <row r="115" spans="4:32" ht="3.75" hidden="1" customHeight="1" x14ac:dyDescent="0.3">
      <c r="D115" s="38"/>
      <c r="E115" s="26"/>
      <c r="F115" s="55"/>
      <c r="G115" s="93"/>
      <c r="H115" s="66"/>
      <c r="I115" s="55"/>
      <c r="J115" s="26"/>
      <c r="K115" s="39"/>
      <c r="L115" s="39"/>
      <c r="M115" s="39"/>
      <c r="N115" s="422"/>
      <c r="O115" s="422"/>
      <c r="P115" s="39"/>
    </row>
    <row r="116" spans="4:32" ht="18.75" hidden="1" customHeight="1" x14ac:dyDescent="0.3">
      <c r="D116" s="38"/>
      <c r="E116" s="26"/>
      <c r="F116" s="17"/>
      <c r="G116" s="89"/>
      <c r="H116" s="66"/>
      <c r="I116" s="75"/>
      <c r="J116" s="26"/>
      <c r="K116" s="39"/>
      <c r="L116" s="39"/>
      <c r="M116" s="39"/>
      <c r="N116" s="421"/>
      <c r="O116" s="422"/>
      <c r="P116" s="39"/>
    </row>
    <row r="117" spans="4:32" ht="3.75" hidden="1" customHeight="1" x14ac:dyDescent="0.3">
      <c r="D117" s="76"/>
      <c r="E117" s="94"/>
      <c r="F117" s="56"/>
      <c r="G117" s="93"/>
      <c r="H117" s="66"/>
      <c r="I117" s="77"/>
      <c r="J117" s="94"/>
      <c r="K117" s="94"/>
      <c r="L117" s="94"/>
      <c r="M117" s="94"/>
      <c r="N117" s="422"/>
      <c r="O117" s="422"/>
      <c r="P117" s="94"/>
    </row>
    <row r="118" spans="4:32" ht="18.75" hidden="1" customHeight="1" x14ac:dyDescent="0.3">
      <c r="D118" s="94"/>
      <c r="E118" s="94"/>
      <c r="F118" s="56"/>
      <c r="G118" s="93"/>
      <c r="H118" s="66"/>
      <c r="I118" s="78"/>
      <c r="J118" s="94"/>
      <c r="K118" s="94"/>
      <c r="L118" s="94"/>
      <c r="M118" s="94"/>
      <c r="N118" s="422"/>
      <c r="O118" s="422"/>
      <c r="P118" s="94"/>
      <c r="AB118" s="7" t="s">
        <v>41</v>
      </c>
      <c r="AE118" s="28">
        <v>0.25</v>
      </c>
      <c r="AF118" s="7" t="e">
        <f>LOOKUP($F$17,BOLT!$A$1:$A$39,BOLT!B$1:B$39)</f>
        <v>#N/A</v>
      </c>
    </row>
    <row r="119" spans="4:32" ht="3.75" hidden="1" customHeight="1" x14ac:dyDescent="0.25">
      <c r="D119" s="2"/>
      <c r="E119" s="11"/>
      <c r="F119" s="95"/>
      <c r="G119" s="94"/>
      <c r="H119" s="96"/>
      <c r="I119" s="97"/>
      <c r="J119" s="2"/>
      <c r="K119" s="2"/>
      <c r="L119" s="2"/>
      <c r="M119" s="2"/>
      <c r="N119" s="422"/>
      <c r="O119" s="422"/>
      <c r="P119" s="2"/>
      <c r="AB119" s="7" t="s">
        <v>42</v>
      </c>
      <c r="AE119" s="28">
        <v>0.3125</v>
      </c>
      <c r="AF119" s="7" t="e">
        <f>LOOKUP($F$17,BOLT!$A$1:$A$39,BOLT!C$1:C$39)</f>
        <v>#N/A</v>
      </c>
    </row>
    <row r="120" spans="4:32" ht="18.75" hidden="1" customHeight="1" x14ac:dyDescent="0.25">
      <c r="D120" s="27"/>
      <c r="E120" s="27"/>
      <c r="F120" s="98"/>
      <c r="G120" s="94"/>
      <c r="H120" s="99"/>
      <c r="I120" s="100"/>
      <c r="J120" s="46"/>
      <c r="K120" s="2"/>
      <c r="L120" s="2"/>
      <c r="M120" s="2"/>
      <c r="N120" s="419"/>
      <c r="O120" s="419"/>
      <c r="P120" s="2"/>
      <c r="AB120" s="7" t="s">
        <v>43</v>
      </c>
      <c r="AE120" s="28">
        <v>0.375</v>
      </c>
      <c r="AF120" s="7" t="e">
        <f>LOOKUP($F$17,BOLT!$A$1:$A$39,BOLT!D$1:D$39)</f>
        <v>#N/A</v>
      </c>
    </row>
    <row r="121" spans="4:32" ht="3.75" hidden="1" customHeight="1" x14ac:dyDescent="0.25">
      <c r="D121" s="27"/>
      <c r="E121" s="27"/>
      <c r="F121" s="15"/>
      <c r="G121" s="11"/>
      <c r="H121" s="67"/>
      <c r="I121" s="13"/>
      <c r="J121" s="46"/>
      <c r="K121" s="2"/>
      <c r="L121" s="2"/>
      <c r="M121" s="2"/>
      <c r="N121" s="419"/>
      <c r="O121" s="419"/>
      <c r="P121" s="2"/>
      <c r="AB121" s="7" t="s">
        <v>44</v>
      </c>
      <c r="AE121" s="28">
        <v>0.4375</v>
      </c>
      <c r="AF121" s="7" t="e">
        <f>LOOKUP($F$17,BOLT!$A$1:$A$39,BOLT!E$1:E$39)</f>
        <v>#N/A</v>
      </c>
    </row>
    <row r="122" spans="4:32" ht="18.75" hidden="1" customHeight="1" x14ac:dyDescent="0.3">
      <c r="D122" s="27"/>
      <c r="E122" s="27"/>
      <c r="F122" s="15"/>
      <c r="G122" s="27"/>
      <c r="H122" s="66"/>
      <c r="I122" s="23"/>
      <c r="J122" s="39"/>
      <c r="K122" s="2"/>
      <c r="L122" s="2"/>
      <c r="M122" s="2"/>
      <c r="N122" s="419"/>
      <c r="O122" s="419"/>
      <c r="P122" s="2"/>
      <c r="AB122" s="7" t="s">
        <v>45</v>
      </c>
      <c r="AE122" s="28">
        <v>0.5</v>
      </c>
      <c r="AF122" s="7" t="e">
        <f>LOOKUP($F$17,BOLT!$A$1:$A$39,BOLT!F$1:F$39)</f>
        <v>#N/A</v>
      </c>
    </row>
    <row r="123" spans="4:32" ht="3.75" hidden="1" customHeight="1" x14ac:dyDescent="0.3">
      <c r="D123" s="14"/>
      <c r="E123" s="11"/>
      <c r="F123" s="20"/>
      <c r="G123" s="27"/>
      <c r="H123" s="68"/>
      <c r="I123" s="79"/>
      <c r="J123" s="2"/>
      <c r="K123" s="2"/>
      <c r="L123" s="2"/>
      <c r="M123" s="2"/>
      <c r="N123" s="2"/>
      <c r="O123" s="2"/>
      <c r="P123" s="2"/>
      <c r="AB123" s="7" t="s">
        <v>46</v>
      </c>
      <c r="AE123" s="28">
        <v>0.5625</v>
      </c>
      <c r="AF123" s="7" t="e">
        <f>LOOKUP($F$17,BOLT!$A$1:$A$39,BOLT!G$1:G$39)</f>
        <v>#N/A</v>
      </c>
    </row>
    <row r="124" spans="4:32" ht="18.75" hidden="1" customHeight="1" x14ac:dyDescent="0.3">
      <c r="D124" s="42"/>
      <c r="E124" s="42"/>
      <c r="F124" s="15"/>
      <c r="G124" s="27"/>
      <c r="H124" s="66"/>
      <c r="I124" s="78"/>
      <c r="J124" s="2"/>
      <c r="K124" s="2"/>
      <c r="L124" s="2"/>
      <c r="M124" s="2"/>
      <c r="N124" s="2"/>
      <c r="O124" s="2"/>
      <c r="P124" s="2"/>
      <c r="AB124" s="7" t="s">
        <v>47</v>
      </c>
      <c r="AE124" s="28">
        <v>0.625</v>
      </c>
      <c r="AF124" s="7" t="e">
        <f>LOOKUP($F$17,BOLT!$A$1:$A$39,BOLT!H$1:H$39)</f>
        <v>#N/A</v>
      </c>
    </row>
    <row r="125" spans="4:32" ht="3.75" hidden="1" customHeight="1" x14ac:dyDescent="0.25">
      <c r="D125" s="38"/>
      <c r="E125" s="43"/>
      <c r="F125" s="20"/>
      <c r="G125" s="43"/>
      <c r="H125" s="80"/>
      <c r="I125" s="43"/>
      <c r="J125" s="43"/>
      <c r="K125" s="43"/>
      <c r="L125" s="43"/>
      <c r="M125" s="43"/>
      <c r="N125" s="43"/>
      <c r="O125" s="43"/>
      <c r="P125" s="43"/>
      <c r="AB125" s="7" t="s">
        <v>48</v>
      </c>
      <c r="AE125" s="28">
        <v>0.75</v>
      </c>
      <c r="AF125" s="7" t="e">
        <f>LOOKUP($F$17,BOLT!$A$1:$A$39,BOLT!I$1:I$39)</f>
        <v>#N/A</v>
      </c>
    </row>
    <row r="126" spans="4:32" ht="18.75" hidden="1" customHeight="1" x14ac:dyDescent="0.25">
      <c r="F126" s="49"/>
      <c r="G126" s="236"/>
      <c r="AB126" s="7" t="s">
        <v>49</v>
      </c>
      <c r="AE126" s="28">
        <v>0.875</v>
      </c>
      <c r="AF126" s="7" t="e">
        <f>LOOKUP($F$17,BOLT!$A$1:$A$39,BOLT!J$1:J$39)</f>
        <v>#N/A</v>
      </c>
    </row>
    <row r="127" spans="4:32" ht="18.75" hidden="1" customHeight="1" x14ac:dyDescent="0.25">
      <c r="F127" s="49"/>
      <c r="G127" s="236"/>
      <c r="AB127" s="7" t="s">
        <v>50</v>
      </c>
      <c r="AE127" s="28">
        <v>1</v>
      </c>
      <c r="AF127" s="7" t="e">
        <f>LOOKUP($F$17,BOLT!$A$1:$A$39,BOLT!K$1:K$39)</f>
        <v>#N/A</v>
      </c>
    </row>
    <row r="128" spans="4:32" ht="18.75" hidden="1" customHeight="1" x14ac:dyDescent="0.25">
      <c r="F128" s="49"/>
      <c r="G128" s="236"/>
      <c r="AB128" s="7" t="s">
        <v>51</v>
      </c>
      <c r="AE128" s="28">
        <v>1.125</v>
      </c>
      <c r="AF128" s="7" t="e">
        <f>LOOKUP($F$17,BOLT!$A$1:$A$39,BOLT!L$1:L$39)</f>
        <v>#N/A</v>
      </c>
    </row>
    <row r="129" spans="6:32" ht="18.75" hidden="1" customHeight="1" x14ac:dyDescent="0.25">
      <c r="F129" s="49"/>
      <c r="G129" s="236"/>
      <c r="AB129" s="7" t="s">
        <v>52</v>
      </c>
      <c r="AE129" s="28">
        <v>1.25</v>
      </c>
      <c r="AF129" s="7" t="e">
        <f>LOOKUP($F$17,BOLT!$A$1:$A$39,BOLT!M$1:M$39)</f>
        <v>#N/A</v>
      </c>
    </row>
    <row r="130" spans="6:32" ht="18.75" hidden="1" customHeight="1" x14ac:dyDescent="0.25">
      <c r="F130" s="49"/>
      <c r="G130" s="236"/>
      <c r="AB130" s="7" t="s">
        <v>53</v>
      </c>
      <c r="AE130" s="28">
        <v>1.375</v>
      </c>
      <c r="AF130" s="7" t="e">
        <f>LOOKUP($F$17,BOLT!$A$1:$A$39,BOLT!N$1:N$39)</f>
        <v>#N/A</v>
      </c>
    </row>
    <row r="131" spans="6:32" ht="18.75" hidden="1" customHeight="1" x14ac:dyDescent="0.25">
      <c r="F131" s="49"/>
      <c r="G131" s="236"/>
      <c r="AB131" s="7" t="s">
        <v>54</v>
      </c>
      <c r="AE131" s="28">
        <v>1.5</v>
      </c>
      <c r="AF131" s="7" t="e">
        <f>LOOKUP($F$17,BOLT!$A$1:$A$39,BOLT!O$1:O$39)</f>
        <v>#N/A</v>
      </c>
    </row>
    <row r="132" spans="6:32" ht="18.75" hidden="1" customHeight="1" x14ac:dyDescent="0.25">
      <c r="F132" s="49"/>
      <c r="G132" s="236"/>
      <c r="AB132" s="7" t="s">
        <v>55</v>
      </c>
      <c r="AE132" s="28">
        <v>1.625</v>
      </c>
      <c r="AF132" s="7" t="e">
        <f>LOOKUP($F$17,BOLT!$A$1:$A$39,BOLT!P$1:P$39)</f>
        <v>#N/A</v>
      </c>
    </row>
    <row r="133" spans="6:32" ht="18.75" hidden="1" customHeight="1" x14ac:dyDescent="0.25">
      <c r="F133" s="49"/>
      <c r="G133" s="236"/>
      <c r="AB133" s="7" t="s">
        <v>57</v>
      </c>
      <c r="AE133" s="28">
        <v>1.75</v>
      </c>
      <c r="AF133" s="7" t="e">
        <f>LOOKUP($F$17,BOLT!$A$1:$A$39,BOLT!Q$1:Q$39)</f>
        <v>#N/A</v>
      </c>
    </row>
    <row r="134" spans="6:32" ht="18.75" hidden="1" customHeight="1" x14ac:dyDescent="0.25">
      <c r="F134" s="49"/>
      <c r="G134" s="236"/>
      <c r="AB134" s="7" t="s">
        <v>58</v>
      </c>
      <c r="AE134" s="28">
        <v>1.875</v>
      </c>
      <c r="AF134" s="7" t="e">
        <f>LOOKUP($F$17,BOLT!$A$1:$A$39,BOLT!R$1:R$39)</f>
        <v>#N/A</v>
      </c>
    </row>
    <row r="135" spans="6:32" ht="18.75" hidden="1" customHeight="1" x14ac:dyDescent="0.25">
      <c r="F135" s="49"/>
      <c r="G135" s="236"/>
      <c r="AB135" s="7" t="s">
        <v>59</v>
      </c>
      <c r="AE135" s="28">
        <v>2</v>
      </c>
      <c r="AF135" s="7" t="e">
        <f>LOOKUP($F$17,BOLT!$A$1:$A$39,BOLT!S$1:S$39)</f>
        <v>#N/A</v>
      </c>
    </row>
    <row r="136" spans="6:32" ht="18.75" hidden="1" customHeight="1" x14ac:dyDescent="0.25">
      <c r="F136" s="49"/>
      <c r="G136" s="236"/>
      <c r="AB136" s="7" t="s">
        <v>60</v>
      </c>
      <c r="AE136" s="28">
        <v>2.25</v>
      </c>
      <c r="AF136" s="7" t="e">
        <f>LOOKUP($F$17,BOLT!$A$1:$A$39,BOLT!T$1:T$39)</f>
        <v>#N/A</v>
      </c>
    </row>
    <row r="137" spans="6:32" ht="18.75" hidden="1" customHeight="1" x14ac:dyDescent="0.25">
      <c r="F137" s="49"/>
      <c r="G137" s="236"/>
      <c r="AB137" s="7" t="s">
        <v>61</v>
      </c>
      <c r="AE137" s="28">
        <v>2.5</v>
      </c>
      <c r="AF137" s="7" t="e">
        <f>LOOKUP($F$17,BOLT!$A$1:$A$39,BOLT!U$1:U$39)</f>
        <v>#N/A</v>
      </c>
    </row>
    <row r="138" spans="6:32" ht="18.75" hidden="1" customHeight="1" x14ac:dyDescent="0.25">
      <c r="F138" s="49"/>
      <c r="G138" s="236"/>
      <c r="AB138" s="7" t="s">
        <v>62</v>
      </c>
      <c r="AE138" s="28">
        <v>2.75</v>
      </c>
      <c r="AF138" s="7" t="e">
        <f>LOOKUP($F$17,BOLT!$A$1:$A$39,BOLT!V$1:V$39)</f>
        <v>#N/A</v>
      </c>
    </row>
    <row r="139" spans="6:32" ht="18.75" hidden="1" customHeight="1" x14ac:dyDescent="0.25">
      <c r="F139" s="49"/>
      <c r="G139" s="236"/>
      <c r="AB139" s="7" t="s">
        <v>63</v>
      </c>
      <c r="AE139" s="28">
        <v>3</v>
      </c>
      <c r="AF139" s="7" t="e">
        <f>LOOKUP($F$17,BOLT!$A$1:$A$39,BOLT!W$1:W$39)</f>
        <v>#N/A</v>
      </c>
    </row>
    <row r="140" spans="6:32" ht="18.75" hidden="1" customHeight="1" x14ac:dyDescent="0.25">
      <c r="F140" s="49"/>
      <c r="G140" s="236"/>
      <c r="AB140" s="7" t="s">
        <v>64</v>
      </c>
    </row>
    <row r="141" spans="6:32" ht="18.75" hidden="1" customHeight="1" x14ac:dyDescent="0.25">
      <c r="F141" s="49"/>
      <c r="G141" s="236"/>
      <c r="AB141" s="7" t="s">
        <v>65</v>
      </c>
    </row>
    <row r="142" spans="6:32" ht="18.75" hidden="1" customHeight="1" x14ac:dyDescent="0.25">
      <c r="F142" s="49"/>
      <c r="G142" s="236"/>
      <c r="AB142" s="7" t="s">
        <v>66</v>
      </c>
    </row>
    <row r="143" spans="6:32" ht="18.75" hidden="1" customHeight="1" x14ac:dyDescent="0.25">
      <c r="F143" s="236"/>
      <c r="G143" s="236"/>
      <c r="AB143" s="7" t="s">
        <v>67</v>
      </c>
    </row>
    <row r="144" spans="6:32" ht="18.75" hidden="1" customHeight="1" x14ac:dyDescent="0.25">
      <c r="F144" s="236"/>
      <c r="G144" s="236"/>
      <c r="AB144" s="7" t="s">
        <v>68</v>
      </c>
    </row>
    <row r="145" spans="28:28" ht="18.75" hidden="1" customHeight="1" x14ac:dyDescent="0.25">
      <c r="AB145" s="7" t="s">
        <v>69</v>
      </c>
    </row>
    <row r="146" spans="28:28" ht="18.75" hidden="1" customHeight="1" x14ac:dyDescent="0.25">
      <c r="AB146" s="7" t="s">
        <v>70</v>
      </c>
    </row>
    <row r="147" spans="28:28" ht="18.75" hidden="1" customHeight="1" x14ac:dyDescent="0.25">
      <c r="AB147" s="7" t="s">
        <v>71</v>
      </c>
    </row>
    <row r="148" spans="28:28" ht="18.75" hidden="1" customHeight="1" x14ac:dyDescent="0.25">
      <c r="AB148" s="7" t="s">
        <v>72</v>
      </c>
    </row>
    <row r="149" spans="28:28" ht="18.75" hidden="1" customHeight="1" x14ac:dyDescent="0.25">
      <c r="AB149" s="7" t="s">
        <v>73</v>
      </c>
    </row>
    <row r="150" spans="28:28" ht="18.75" hidden="1" customHeight="1" x14ac:dyDescent="0.25">
      <c r="AB150" s="7" t="s">
        <v>74</v>
      </c>
    </row>
    <row r="151" spans="28:28" ht="18.75" hidden="1" customHeight="1" x14ac:dyDescent="0.25">
      <c r="AB151" s="7" t="s">
        <v>75</v>
      </c>
    </row>
    <row r="152" spans="28:28" ht="18.75" hidden="1" customHeight="1" x14ac:dyDescent="0.25">
      <c r="AB152" s="7" t="s">
        <v>76</v>
      </c>
    </row>
    <row r="153" spans="28:28" ht="18.75" hidden="1" customHeight="1" x14ac:dyDescent="0.25">
      <c r="AB153" s="7" t="s">
        <v>77</v>
      </c>
    </row>
    <row r="154" spans="28:28" ht="18.75" hidden="1" customHeight="1" x14ac:dyDescent="0.25">
      <c r="AB154" s="7" t="s">
        <v>78</v>
      </c>
    </row>
    <row r="155" spans="28:28" ht="18.75" hidden="1" customHeight="1" x14ac:dyDescent="0.25">
      <c r="AB155" s="7" t="s">
        <v>79</v>
      </c>
    </row>
    <row r="156" spans="28:28" ht="18.75" hidden="1" customHeight="1" x14ac:dyDescent="0.25">
      <c r="AB156" s="7" t="s">
        <v>80</v>
      </c>
    </row>
    <row r="157" spans="28:28" ht="18.75" hidden="1" customHeight="1" x14ac:dyDescent="0.25"/>
    <row r="158" spans="28:28" ht="18.75" hidden="1" customHeight="1" x14ac:dyDescent="0.25"/>
    <row r="159" spans="28:28" ht="18.75" hidden="1" customHeight="1" x14ac:dyDescent="0.25"/>
    <row r="160" spans="28:28" ht="18.75" hidden="1" customHeight="1" x14ac:dyDescent="0.25"/>
    <row r="161" ht="18.75" hidden="1" customHeight="1" x14ac:dyDescent="0.25"/>
    <row r="162" ht="18.75" hidden="1" customHeight="1" x14ac:dyDescent="0.25"/>
    <row r="163" ht="18.75" hidden="1" customHeight="1" x14ac:dyDescent="0.25"/>
    <row r="164" ht="18.75" hidden="1" customHeight="1" x14ac:dyDescent="0.25"/>
    <row r="165" ht="18.75" hidden="1" customHeight="1" x14ac:dyDescent="0.25"/>
    <row r="166" ht="18.75" hidden="1" customHeight="1" x14ac:dyDescent="0.25"/>
    <row r="167" ht="18.75" hidden="1" customHeight="1" x14ac:dyDescent="0.25"/>
    <row r="168" ht="18.75" hidden="1" customHeight="1" x14ac:dyDescent="0.25"/>
    <row r="169" ht="18.75" hidden="1" customHeight="1" x14ac:dyDescent="0.25"/>
  </sheetData>
  <sheetProtection password="D401" sheet="1" objects="1" scenarios="1" selectLockedCells="1"/>
  <mergeCells count="17">
    <mergeCell ref="C5:K5"/>
    <mergeCell ref="B4:L4"/>
    <mergeCell ref="N93:O96"/>
    <mergeCell ref="N84:O86"/>
    <mergeCell ref="N76:O79"/>
    <mergeCell ref="D39:F43"/>
    <mergeCell ref="N80:O83"/>
    <mergeCell ref="F17:G17"/>
    <mergeCell ref="N63:O66"/>
    <mergeCell ref="N67:O69"/>
    <mergeCell ref="N59:O62"/>
    <mergeCell ref="N120:O122"/>
    <mergeCell ref="N109:O110"/>
    <mergeCell ref="N97:O100"/>
    <mergeCell ref="N101:O103"/>
    <mergeCell ref="N112:O115"/>
    <mergeCell ref="N116:O119"/>
  </mergeCells>
  <phoneticPr fontId="0" type="noConversion"/>
  <conditionalFormatting sqref="D39:F43">
    <cfRule type="cellIs" dxfId="376" priority="2" operator="equal">
      <formula>$F$55</formula>
    </cfRule>
    <cfRule type="cellIs" dxfId="375" priority="3" operator="equal">
      <formula>$F$54</formula>
    </cfRule>
    <cfRule type="cellIs" dxfId="374" priority="4" operator="equal">
      <formula>$F$53</formula>
    </cfRule>
  </conditionalFormatting>
  <conditionalFormatting sqref="D39:F43">
    <cfRule type="cellIs" dxfId="373" priority="1" operator="equal">
      <formula>$F$56</formula>
    </cfRule>
  </conditionalFormatting>
  <dataValidations count="2">
    <dataValidation type="list" allowBlank="1" showInputMessage="1" showErrorMessage="1" errorTitle="Please select from the list" sqref="F15">
      <formula1>$AE$118:$AE$139</formula1>
    </dataValidation>
    <dataValidation type="list" allowBlank="1" showInputMessage="1" showErrorMessage="1" errorTitle="Please select from the list" sqref="F17:G17">
      <formula1>$AB$119:$AB$156</formula1>
    </dataValidation>
  </dataValidations>
  <printOptions horizontalCentered="1"/>
  <pageMargins left="0.25" right="0.25" top="1" bottom="0" header="0.5" footer="0.5"/>
  <pageSetup scale="65" fitToHeight="2" orientation="portrait" r:id="rId1"/>
  <headerFooter alignWithMargins="0">
    <oddHeader>&amp;CGarlock Sealing Technologies
1666 Division Street
Palmyra, NY  14522
(800) 448-6688</oddHeader>
    <oddFooter>&amp;A</oddFooter>
  </headerFooter>
  <colBreaks count="1" manualBreakCount="1">
    <brk id="16" max="1048575"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AN238"/>
  <sheetViews>
    <sheetView showGridLines="0" showRowColHeaders="0" zoomScale="85" zoomScaleNormal="85" workbookViewId="0">
      <pane ySplit="4" topLeftCell="A5" activePane="bottomLeft" state="frozen"/>
      <selection pane="bottomLeft" activeCell="F15" sqref="F15"/>
    </sheetView>
  </sheetViews>
  <sheetFormatPr defaultColWidth="0" defaultRowHeight="13.2" zeroHeight="1" x14ac:dyDescent="0.25"/>
  <cols>
    <col min="1" max="1" width="9.109375" style="7" customWidth="1"/>
    <col min="2" max="2" width="24.109375" style="7" customWidth="1"/>
    <col min="3" max="3" width="15.6640625" style="7" customWidth="1"/>
    <col min="4" max="4" width="12.6640625" style="7" customWidth="1"/>
    <col min="5" max="5" width="3.6640625" style="7" customWidth="1"/>
    <col min="6" max="6" width="16.88671875" style="7" customWidth="1"/>
    <col min="7" max="7" width="15.6640625" style="7" customWidth="1"/>
    <col min="8" max="9" width="7.77734375" style="7" customWidth="1"/>
    <col min="10" max="11" width="15.6640625" style="7" customWidth="1"/>
    <col min="12" max="12" width="8.33203125" style="7" customWidth="1"/>
    <col min="13" max="13" width="5.44140625" style="7" customWidth="1"/>
    <col min="14" max="14" width="7.88671875" style="7" hidden="1" customWidth="1"/>
    <col min="15" max="16" width="9.109375" style="7" hidden="1" customWidth="1"/>
    <col min="17" max="17" width="25.109375" style="7" hidden="1" customWidth="1"/>
    <col min="18" max="18" width="11.77734375" style="7" hidden="1" customWidth="1"/>
    <col min="19" max="39" width="9.109375" style="7" hidden="1" customWidth="1"/>
    <col min="40" max="40" width="11.44140625" style="287" hidden="1" customWidth="1"/>
    <col min="41" max="16384" width="9.109375" style="7" hidden="1"/>
  </cols>
  <sheetData>
    <row r="1" spans="1:40" ht="108" customHeight="1" x14ac:dyDescent="0.25"/>
    <row r="2" spans="1:40" ht="28.2" customHeight="1" x14ac:dyDescent="0.25"/>
    <row r="3" spans="1:40" ht="27" customHeight="1" x14ac:dyDescent="0.4">
      <c r="A3" s="6"/>
      <c r="B3" s="450" t="s">
        <v>0</v>
      </c>
      <c r="C3" s="451"/>
      <c r="D3" s="451"/>
      <c r="E3" s="451"/>
      <c r="F3" s="451"/>
      <c r="G3" s="451"/>
      <c r="H3" s="451"/>
      <c r="I3" s="451"/>
      <c r="J3" s="451"/>
      <c r="K3" s="451"/>
      <c r="L3" s="452"/>
    </row>
    <row r="4" spans="1:40" ht="25.5" customHeight="1" x14ac:dyDescent="0.4">
      <c r="A4" s="6"/>
      <c r="C4" s="242"/>
      <c r="D4" s="243"/>
      <c r="E4" s="243"/>
      <c r="F4" s="243"/>
      <c r="G4" s="243"/>
      <c r="H4" s="243"/>
      <c r="I4" s="243"/>
      <c r="J4" s="243"/>
    </row>
    <row r="5" spans="1:40" ht="22.8" x14ac:dyDescent="0.4">
      <c r="A5" s="6"/>
      <c r="D5" s="251"/>
      <c r="E5" s="251"/>
      <c r="F5" s="252" t="s">
        <v>415</v>
      </c>
      <c r="G5" s="251"/>
      <c r="H5" s="251"/>
      <c r="I5" s="251"/>
      <c r="J5" s="251"/>
      <c r="R5" s="2"/>
    </row>
    <row r="6" spans="1:40" ht="23.4" thickBot="1" x14ac:dyDescent="0.45">
      <c r="A6" s="6"/>
      <c r="C6" s="53"/>
      <c r="D6" s="22" t="s">
        <v>320</v>
      </c>
      <c r="E6" s="9"/>
      <c r="F6" s="9"/>
      <c r="G6" s="9"/>
      <c r="H6" s="9"/>
      <c r="I6" s="9"/>
      <c r="J6" s="453" t="s">
        <v>387</v>
      </c>
      <c r="K6" s="453"/>
      <c r="L6" s="453"/>
      <c r="M6" s="453"/>
      <c r="R6" s="51"/>
    </row>
    <row r="7" spans="1:40" ht="18.75" customHeight="1" thickBot="1" x14ac:dyDescent="0.45">
      <c r="A7" s="54"/>
      <c r="B7" s="8"/>
      <c r="C7" s="8"/>
      <c r="D7" s="40" t="s">
        <v>343</v>
      </c>
      <c r="E7" s="63"/>
      <c r="F7" s="360"/>
      <c r="G7" s="23" t="s">
        <v>321</v>
      </c>
      <c r="H7" s="8"/>
      <c r="I7" s="8"/>
      <c r="J7" s="236"/>
      <c r="K7" s="236"/>
      <c r="L7" s="236"/>
      <c r="M7" s="236"/>
      <c r="R7" s="51"/>
    </row>
    <row r="8" spans="1:40" ht="17.25" customHeight="1" x14ac:dyDescent="0.4">
      <c r="A8" s="6"/>
      <c r="B8" s="8"/>
      <c r="C8" s="9"/>
      <c r="D8" s="9"/>
      <c r="E8" s="9"/>
      <c r="F8" s="9"/>
      <c r="G8" s="9"/>
      <c r="H8" s="9"/>
      <c r="I8" s="9"/>
      <c r="R8" s="51"/>
    </row>
    <row r="9" spans="1:40" ht="21" x14ac:dyDescent="0.25">
      <c r="B9" s="349"/>
      <c r="D9" s="10" t="s">
        <v>1</v>
      </c>
      <c r="E9" s="11"/>
      <c r="F9" s="11" t="s">
        <v>2</v>
      </c>
      <c r="G9" s="11"/>
      <c r="H9" s="2"/>
      <c r="I9" s="2"/>
      <c r="AN9" s="12"/>
    </row>
    <row r="10" spans="1:40" ht="5.25" customHeight="1" thickBot="1" x14ac:dyDescent="0.35">
      <c r="D10" s="13"/>
      <c r="E10" s="13"/>
      <c r="F10" s="13"/>
      <c r="G10" s="13"/>
      <c r="H10" s="14"/>
      <c r="I10" s="14"/>
      <c r="N10" s="350"/>
      <c r="AN10" s="12"/>
    </row>
    <row r="11" spans="1:40" ht="18" thickBot="1" x14ac:dyDescent="0.3">
      <c r="D11" s="40" t="s">
        <v>339</v>
      </c>
      <c r="E11" s="13"/>
      <c r="F11" s="346"/>
      <c r="G11" s="13" t="s">
        <v>3</v>
      </c>
      <c r="H11" s="13"/>
      <c r="I11" s="13"/>
      <c r="M11" s="351"/>
      <c r="N11" s="351"/>
      <c r="AN11" s="12"/>
    </row>
    <row r="12" spans="1:40" ht="3.9" customHeight="1" thickBot="1" x14ac:dyDescent="0.3">
      <c r="D12" s="15"/>
      <c r="E12" s="13"/>
      <c r="F12" s="13" t="s">
        <v>4</v>
      </c>
      <c r="G12" s="13"/>
      <c r="H12" s="13"/>
      <c r="I12" s="13"/>
      <c r="M12" s="351"/>
      <c r="N12" s="351"/>
      <c r="AN12" s="12"/>
    </row>
    <row r="13" spans="1:40" ht="18" thickBot="1" x14ac:dyDescent="0.3">
      <c r="B13" s="349"/>
      <c r="D13" s="40" t="s">
        <v>340</v>
      </c>
      <c r="E13" s="13"/>
      <c r="F13" s="346"/>
      <c r="G13" s="13" t="s">
        <v>3</v>
      </c>
      <c r="H13" s="16" t="s">
        <v>4</v>
      </c>
      <c r="I13" s="16"/>
      <c r="M13" s="351"/>
      <c r="N13" s="351"/>
      <c r="AN13" s="12"/>
    </row>
    <row r="14" spans="1:40" ht="3.9" customHeight="1" thickBot="1" x14ac:dyDescent="0.3">
      <c r="D14" s="15"/>
      <c r="E14" s="13"/>
      <c r="F14" s="13">
        <v>3</v>
      </c>
      <c r="G14" s="13"/>
      <c r="H14" s="13"/>
      <c r="I14" s="13"/>
      <c r="M14" s="351"/>
      <c r="N14" s="351"/>
      <c r="AN14" s="12"/>
    </row>
    <row r="15" spans="1:40" ht="18" thickBot="1" x14ac:dyDescent="0.35">
      <c r="D15" s="108" t="s">
        <v>336</v>
      </c>
      <c r="E15" s="2"/>
      <c r="F15" s="345"/>
      <c r="G15" s="14" t="s">
        <v>3</v>
      </c>
      <c r="H15" s="13"/>
      <c r="I15" s="13"/>
      <c r="M15" s="351"/>
      <c r="N15" s="351"/>
      <c r="AN15" s="12"/>
    </row>
    <row r="16" spans="1:40" ht="3.9" customHeight="1" thickBot="1" x14ac:dyDescent="0.3">
      <c r="D16" s="18"/>
      <c r="E16" s="2"/>
      <c r="F16" s="2"/>
      <c r="G16" s="2"/>
      <c r="H16" s="166"/>
      <c r="I16" s="166"/>
      <c r="J16" s="352"/>
      <c r="K16" s="352"/>
      <c r="L16" s="352"/>
    </row>
    <row r="17" spans="4:18" ht="18" thickBot="1" x14ac:dyDescent="0.3">
      <c r="D17" s="40" t="s">
        <v>338</v>
      </c>
      <c r="E17" s="13"/>
      <c r="F17" s="346"/>
      <c r="G17" s="13"/>
      <c r="H17" s="353"/>
      <c r="I17" s="353"/>
      <c r="J17" s="353"/>
      <c r="K17" s="353"/>
      <c r="L17" s="353"/>
      <c r="M17" s="101"/>
    </row>
    <row r="18" spans="4:18" ht="3.9" customHeight="1" thickBot="1" x14ac:dyDescent="0.3">
      <c r="D18" s="15"/>
      <c r="E18" s="13"/>
      <c r="F18" s="19"/>
      <c r="G18" s="13"/>
      <c r="H18" s="353"/>
      <c r="I18" s="353"/>
      <c r="J18" s="353"/>
      <c r="K18" s="353"/>
      <c r="L18" s="353"/>
      <c r="M18" s="101"/>
    </row>
    <row r="19" spans="4:18" ht="18" customHeight="1" thickBot="1" x14ac:dyDescent="0.3">
      <c r="D19" s="20" t="s">
        <v>6</v>
      </c>
      <c r="E19" s="13"/>
      <c r="F19" s="109">
        <f>(0.7853981634*(F13^2-F11^2))</f>
        <v>0</v>
      </c>
      <c r="G19" s="13" t="s">
        <v>7</v>
      </c>
      <c r="H19" s="353"/>
      <c r="I19" s="353"/>
      <c r="J19" s="353"/>
      <c r="K19" s="353"/>
      <c r="L19" s="353"/>
      <c r="M19" s="101"/>
    </row>
    <row r="20" spans="4:18" ht="12" hidden="1" customHeight="1" x14ac:dyDescent="0.25">
      <c r="D20" s="18"/>
      <c r="E20" s="2"/>
      <c r="F20" s="2"/>
      <c r="G20" s="2"/>
      <c r="H20" s="354"/>
      <c r="I20" s="354"/>
      <c r="J20" s="354"/>
      <c r="K20" s="354"/>
      <c r="L20" s="354"/>
      <c r="M20" s="101"/>
    </row>
    <row r="21" spans="4:18" ht="18" customHeight="1" x14ac:dyDescent="0.25">
      <c r="D21" s="18"/>
      <c r="E21" s="2"/>
      <c r="F21" s="2"/>
      <c r="G21" s="2"/>
      <c r="H21" s="354"/>
      <c r="I21" s="354"/>
      <c r="J21" s="354"/>
      <c r="K21" s="354"/>
      <c r="L21" s="354"/>
      <c r="M21" s="101"/>
    </row>
    <row r="22" spans="4:18" ht="18" customHeight="1" thickBot="1" x14ac:dyDescent="0.45">
      <c r="D22" s="21" t="s">
        <v>289</v>
      </c>
      <c r="E22" s="2"/>
      <c r="F22" s="2"/>
      <c r="G22" s="2"/>
      <c r="H22" s="2"/>
      <c r="I22" s="2"/>
      <c r="J22" s="101"/>
      <c r="K22" s="101"/>
      <c r="L22" s="101"/>
      <c r="M22" s="101"/>
    </row>
    <row r="23" spans="4:18" ht="18" thickBot="1" x14ac:dyDescent="0.35">
      <c r="D23" s="108" t="s">
        <v>341</v>
      </c>
      <c r="E23" s="2"/>
      <c r="F23" s="361"/>
      <c r="G23" s="14" t="s">
        <v>290</v>
      </c>
      <c r="H23" s="229"/>
      <c r="I23" s="229"/>
      <c r="J23" s="229"/>
      <c r="K23" s="101"/>
      <c r="L23" s="101"/>
      <c r="M23" s="101"/>
      <c r="Q23" s="126" t="s">
        <v>378</v>
      </c>
      <c r="R23" s="7" t="e">
        <f>(0.7853981634*(F11^2))*F23/F39</f>
        <v>#DIV/0!</v>
      </c>
    </row>
    <row r="24" spans="4:18" ht="18" customHeight="1" x14ac:dyDescent="0.25">
      <c r="D24" s="18"/>
      <c r="E24" s="2"/>
      <c r="F24" s="2"/>
      <c r="G24" s="2"/>
      <c r="H24" s="2"/>
      <c r="I24" s="2"/>
    </row>
    <row r="25" spans="4:18" ht="20.25" customHeight="1" x14ac:dyDescent="0.4">
      <c r="D25" s="21" t="s">
        <v>81</v>
      </c>
      <c r="E25" s="2"/>
      <c r="F25" s="2"/>
      <c r="G25" s="2"/>
      <c r="H25" s="2"/>
      <c r="I25" s="2"/>
      <c r="K25" s="101"/>
      <c r="L25" s="101"/>
      <c r="M25" s="101"/>
    </row>
    <row r="26" spans="4:18" ht="6" customHeight="1" thickBot="1" x14ac:dyDescent="0.45">
      <c r="D26" s="21"/>
      <c r="E26" s="2"/>
      <c r="F26" s="2"/>
      <c r="G26" s="2"/>
      <c r="H26" s="2"/>
      <c r="I26" s="2"/>
      <c r="J26" s="343"/>
      <c r="K26" s="343"/>
      <c r="L26" s="343"/>
      <c r="M26" s="343"/>
    </row>
    <row r="27" spans="4:18" ht="19.5" customHeight="1" thickBot="1" x14ac:dyDescent="0.35">
      <c r="D27" s="108" t="s">
        <v>337</v>
      </c>
      <c r="E27" s="2"/>
      <c r="F27" s="436"/>
      <c r="G27" s="437"/>
      <c r="H27" s="2"/>
      <c r="I27" s="2"/>
      <c r="J27" s="343"/>
      <c r="K27" s="343"/>
      <c r="L27" s="343"/>
      <c r="M27" s="343"/>
      <c r="R27" s="64" t="s">
        <v>322</v>
      </c>
    </row>
    <row r="28" spans="4:18" ht="6" customHeight="1" thickBot="1" x14ac:dyDescent="0.45">
      <c r="D28" s="21"/>
      <c r="E28" s="2"/>
      <c r="F28" s="2"/>
      <c r="G28" s="14"/>
      <c r="H28" s="2"/>
      <c r="I28" s="2"/>
      <c r="J28" s="343"/>
      <c r="K28" s="343"/>
      <c r="L28" s="343"/>
      <c r="M28" s="343"/>
      <c r="R28" s="65">
        <v>1.5625E-2</v>
      </c>
    </row>
    <row r="29" spans="4:18" ht="19.5" customHeight="1" thickBot="1" x14ac:dyDescent="0.35">
      <c r="D29" s="17" t="s">
        <v>83</v>
      </c>
      <c r="E29" s="2"/>
      <c r="F29" s="106" t="e">
        <f>LOOKUP(F15,AC201:AC222,AD201:AD222)</f>
        <v>#N/A</v>
      </c>
      <c r="G29" s="14" t="s">
        <v>19</v>
      </c>
      <c r="H29" s="2"/>
      <c r="I29" s="2"/>
      <c r="J29" s="343"/>
      <c r="K29" s="343"/>
      <c r="L29" s="343"/>
      <c r="M29" s="343"/>
      <c r="R29" s="65">
        <v>3.125E-2</v>
      </c>
    </row>
    <row r="30" spans="4:18" ht="18" customHeight="1" x14ac:dyDescent="0.25">
      <c r="D30" s="18"/>
      <c r="E30" s="2"/>
      <c r="F30" s="2"/>
      <c r="G30" s="2"/>
      <c r="H30" s="2"/>
      <c r="I30" s="2"/>
      <c r="J30" s="343"/>
      <c r="K30" s="343"/>
      <c r="L30" s="343"/>
      <c r="M30" s="343"/>
      <c r="R30" s="65">
        <v>6.2E-2</v>
      </c>
    </row>
    <row r="31" spans="4:18" ht="21" x14ac:dyDescent="0.25">
      <c r="D31" s="22" t="s">
        <v>8</v>
      </c>
      <c r="E31" s="13"/>
      <c r="F31" s="13"/>
      <c r="G31" s="13"/>
      <c r="H31" s="13"/>
      <c r="I31" s="13"/>
      <c r="J31" s="343"/>
      <c r="K31" s="343"/>
      <c r="L31" s="343"/>
      <c r="M31" s="343"/>
      <c r="R31" s="127" t="s">
        <v>437</v>
      </c>
    </row>
    <row r="32" spans="4:18" ht="6" customHeight="1" thickBot="1" x14ac:dyDescent="0.3">
      <c r="D32" s="22"/>
      <c r="E32" s="13"/>
      <c r="F32" s="13"/>
      <c r="G32" s="13"/>
      <c r="H32" s="13"/>
      <c r="I32" s="13"/>
      <c r="J32" s="343"/>
      <c r="K32" s="343"/>
      <c r="L32" s="343"/>
      <c r="M32" s="343"/>
      <c r="R32" s="65">
        <v>0.125</v>
      </c>
    </row>
    <row r="33" spans="2:18" ht="18" customHeight="1" thickBot="1" x14ac:dyDescent="0.3">
      <c r="D33" s="40" t="s">
        <v>342</v>
      </c>
      <c r="E33" s="13"/>
      <c r="F33" s="362"/>
      <c r="G33" s="13" t="s">
        <v>19</v>
      </c>
      <c r="H33" s="276" t="e">
        <f>(F33/F29)</f>
        <v>#N/A</v>
      </c>
      <c r="I33" s="448" t="s">
        <v>429</v>
      </c>
      <c r="J33" s="448"/>
      <c r="K33" s="448"/>
      <c r="L33" s="355"/>
    </row>
    <row r="34" spans="2:18" ht="3.9" customHeight="1" thickBot="1" x14ac:dyDescent="0.3">
      <c r="D34" s="15"/>
      <c r="E34" s="13"/>
      <c r="F34" s="13"/>
      <c r="G34" s="13"/>
      <c r="H34" s="277"/>
      <c r="I34" s="356"/>
      <c r="J34" s="356"/>
      <c r="K34" s="278"/>
      <c r="L34" s="343"/>
      <c r="M34" s="343"/>
    </row>
    <row r="35" spans="2:18" ht="18" thickBot="1" x14ac:dyDescent="0.3">
      <c r="D35" s="15" t="s">
        <v>10</v>
      </c>
      <c r="E35" s="13"/>
      <c r="F35" s="107" t="e">
        <f>(LOOKUP(F15,'BOLT TABLE'!B9:B30,'BOLT TABLE'!C9:C30)*F33)</f>
        <v>#N/A</v>
      </c>
      <c r="G35" s="23" t="s">
        <v>11</v>
      </c>
      <c r="H35" s="279" t="e">
        <f>VLOOKUP(F15,'BOLT TABLE'!B9:D30,3)</f>
        <v>#N/A</v>
      </c>
      <c r="I35" s="277" t="s">
        <v>431</v>
      </c>
      <c r="J35" s="356"/>
      <c r="K35" s="278"/>
      <c r="L35" s="343"/>
      <c r="M35" s="343"/>
    </row>
    <row r="36" spans="2:18" ht="3.9" customHeight="1" thickBot="1" x14ac:dyDescent="0.3">
      <c r="D36" s="15"/>
      <c r="E36" s="13"/>
      <c r="F36" s="13" t="s">
        <v>4</v>
      </c>
      <c r="G36" s="13" t="s">
        <v>4</v>
      </c>
      <c r="H36" s="13"/>
      <c r="I36" s="13"/>
      <c r="J36" s="343"/>
      <c r="K36" s="343"/>
      <c r="L36" s="343"/>
      <c r="M36" s="343"/>
    </row>
    <row r="37" spans="2:18" ht="18" thickBot="1" x14ac:dyDescent="0.3">
      <c r="D37" s="15" t="s">
        <v>12</v>
      </c>
      <c r="E37" s="13"/>
      <c r="F37" s="110">
        <f>(F17)</f>
        <v>0</v>
      </c>
      <c r="G37" s="13"/>
      <c r="H37" s="363"/>
      <c r="I37" s="290" t="s">
        <v>448</v>
      </c>
      <c r="J37" s="343"/>
      <c r="K37" s="343"/>
      <c r="L37" s="343"/>
      <c r="M37" s="343"/>
      <c r="O37" s="280" t="e">
        <f>IF(H37=0,H35,IF(H37&gt;0,H37))</f>
        <v>#N/A</v>
      </c>
      <c r="P37" s="126" t="s">
        <v>432</v>
      </c>
    </row>
    <row r="38" spans="2:18" ht="3.9" customHeight="1" thickBot="1" x14ac:dyDescent="0.3">
      <c r="D38" s="15"/>
      <c r="E38" s="13"/>
      <c r="F38" s="13"/>
      <c r="G38" s="13"/>
      <c r="H38" s="13"/>
      <c r="I38" s="13"/>
      <c r="J38" s="41"/>
      <c r="K38" s="41"/>
      <c r="L38" s="41"/>
      <c r="M38" s="41"/>
    </row>
    <row r="39" spans="2:18" ht="18" thickBot="1" x14ac:dyDescent="0.3">
      <c r="D39" s="15" t="s">
        <v>1</v>
      </c>
      <c r="E39" s="13"/>
      <c r="F39" s="111">
        <f>(F19)</f>
        <v>0</v>
      </c>
      <c r="G39" s="13" t="s">
        <v>13</v>
      </c>
      <c r="H39" s="13"/>
      <c r="I39" s="13"/>
      <c r="J39" s="41"/>
      <c r="K39" s="41"/>
      <c r="L39" s="41"/>
      <c r="M39" s="41"/>
    </row>
    <row r="40" spans="2:18" ht="3.9" customHeight="1" thickBot="1" x14ac:dyDescent="0.3">
      <c r="D40" s="15"/>
      <c r="E40" s="13"/>
      <c r="F40" s="13"/>
      <c r="G40" s="13"/>
      <c r="H40" s="13"/>
      <c r="I40" s="13"/>
    </row>
    <row r="41" spans="2:18" ht="18" thickBot="1" x14ac:dyDescent="0.3">
      <c r="D41" s="20" t="s">
        <v>14</v>
      </c>
      <c r="E41" s="13"/>
      <c r="F41" s="111" t="e">
        <f>(F35*F37/F39)</f>
        <v>#N/A</v>
      </c>
      <c r="G41" s="23" t="s">
        <v>400</v>
      </c>
      <c r="H41" s="13"/>
      <c r="I41" s="13"/>
    </row>
    <row r="42" spans="2:18" ht="3.9" customHeight="1" thickBot="1" x14ac:dyDescent="0.3">
      <c r="D42" s="18"/>
      <c r="E42" s="2"/>
      <c r="F42" s="2"/>
      <c r="G42" s="2"/>
      <c r="H42" s="2"/>
      <c r="I42" s="2"/>
    </row>
    <row r="43" spans="2:18" ht="18" thickBot="1" x14ac:dyDescent="0.35">
      <c r="D43" s="24" t="s">
        <v>15</v>
      </c>
      <c r="E43" s="2"/>
      <c r="F43" s="106" t="e">
        <f>(O37*F35*F15/12)</f>
        <v>#N/A</v>
      </c>
      <c r="G43" s="14" t="s">
        <v>16</v>
      </c>
      <c r="H43" s="2"/>
      <c r="I43" s="2"/>
    </row>
    <row r="44" spans="2:18" ht="18" thickBot="1" x14ac:dyDescent="0.35">
      <c r="C44" s="25"/>
      <c r="D44" s="25"/>
      <c r="E44" s="2"/>
      <c r="F44" s="14"/>
      <c r="G44" s="14"/>
      <c r="H44" s="2"/>
      <c r="I44" s="2"/>
    </row>
    <row r="45" spans="2:18" ht="18" customHeight="1" thickTop="1" x14ac:dyDescent="0.25">
      <c r="B45" s="454" t="s">
        <v>402</v>
      </c>
      <c r="C45" s="455"/>
      <c r="D45" s="455"/>
      <c r="E45" s="455"/>
      <c r="F45" s="455"/>
      <c r="G45" s="455"/>
      <c r="H45" s="455"/>
      <c r="I45" s="455"/>
      <c r="J45" s="455"/>
      <c r="K45" s="455"/>
      <c r="L45" s="456"/>
      <c r="M45" s="113"/>
      <c r="R45" s="126" t="s">
        <v>388</v>
      </c>
    </row>
    <row r="46" spans="2:18" ht="13.2" customHeight="1" x14ac:dyDescent="0.25">
      <c r="B46" s="457"/>
      <c r="C46" s="458"/>
      <c r="D46" s="458"/>
      <c r="E46" s="458"/>
      <c r="F46" s="458"/>
      <c r="G46" s="458"/>
      <c r="H46" s="458"/>
      <c r="I46" s="458"/>
      <c r="J46" s="458"/>
      <c r="K46" s="458"/>
      <c r="L46" s="459"/>
      <c r="M46" s="113"/>
      <c r="R46" s="126" t="s">
        <v>397</v>
      </c>
    </row>
    <row r="47" spans="2:18" ht="13.8" customHeight="1" thickBot="1" x14ac:dyDescent="0.3">
      <c r="B47" s="460"/>
      <c r="C47" s="461"/>
      <c r="D47" s="461"/>
      <c r="E47" s="461"/>
      <c r="F47" s="461"/>
      <c r="G47" s="461"/>
      <c r="H47" s="461"/>
      <c r="I47" s="461"/>
      <c r="J47" s="461"/>
      <c r="K47" s="461"/>
      <c r="L47" s="462"/>
      <c r="M47" s="113"/>
      <c r="R47" s="126" t="s">
        <v>398</v>
      </c>
    </row>
    <row r="48" spans="2:18" ht="18" thickTop="1" x14ac:dyDescent="0.3">
      <c r="B48" s="114"/>
      <c r="C48" s="112"/>
      <c r="D48" s="112"/>
      <c r="E48" s="113"/>
      <c r="F48" s="114"/>
      <c r="G48" s="114"/>
      <c r="H48" s="113"/>
      <c r="I48" s="113"/>
      <c r="J48" s="113"/>
      <c r="K48" s="113"/>
      <c r="L48" s="113"/>
      <c r="M48" s="113"/>
      <c r="R48" s="126" t="s">
        <v>399</v>
      </c>
    </row>
    <row r="49" spans="2:21" ht="18" thickBot="1" x14ac:dyDescent="0.35">
      <c r="B49" s="25"/>
      <c r="C49" s="2"/>
      <c r="D49" s="2"/>
      <c r="E49" s="14"/>
      <c r="F49" s="2"/>
      <c r="G49" s="2"/>
      <c r="H49" s="2"/>
      <c r="I49" s="2"/>
    </row>
    <row r="50" spans="2:21" ht="45" customHeight="1" thickTop="1" x14ac:dyDescent="0.25">
      <c r="B50" s="441" t="s">
        <v>444</v>
      </c>
      <c r="C50" s="442"/>
      <c r="D50" s="442"/>
      <c r="E50" s="442"/>
      <c r="F50" s="442"/>
      <c r="G50" s="442"/>
      <c r="H50" s="438" t="e">
        <f>IF(F54&gt;15000,U50," ")</f>
        <v>#N/A</v>
      </c>
      <c r="I50" s="438"/>
      <c r="J50" s="438"/>
      <c r="K50" s="438"/>
      <c r="L50" s="439"/>
      <c r="M50" s="170"/>
      <c r="N50" s="167"/>
      <c r="R50" s="65">
        <v>1.5625E-2</v>
      </c>
      <c r="S50" s="7">
        <f>IF($F$23&lt;=300,2500,IF($F$23&lt;=800,4800,IF($F$23&lt;=2000,7400)))</f>
        <v>2500</v>
      </c>
      <c r="T50" s="128">
        <f>+IF($F$11&lt;24,S50,S50+$R$23)</f>
        <v>2500</v>
      </c>
      <c r="U50" s="7" t="s">
        <v>326</v>
      </c>
    </row>
    <row r="51" spans="2:21" ht="18" thickBot="1" x14ac:dyDescent="0.3">
      <c r="B51" s="443" t="str">
        <f>IF($F$23&gt;1200,"MOST STYLES ARE NOT RECOMMENDED FOR THE GIVEN PRESSURE"," ")</f>
        <v xml:space="preserve"> </v>
      </c>
      <c r="C51" s="444"/>
      <c r="D51" s="444"/>
      <c r="E51" s="444"/>
      <c r="F51" s="444"/>
      <c r="G51" s="444"/>
      <c r="H51" s="444" t="str">
        <f>IF($F$7=$R$31,"THICKNESS APPLIES TO GYLON EPIX ONLY"," ")</f>
        <v xml:space="preserve"> </v>
      </c>
      <c r="I51" s="444"/>
      <c r="J51" s="444"/>
      <c r="K51" s="444"/>
      <c r="L51" s="449"/>
      <c r="M51" s="171"/>
      <c r="N51" s="164"/>
      <c r="R51" s="65">
        <v>3.125E-2</v>
      </c>
      <c r="S51" s="7">
        <f>IF($F$23&lt;=300,2500,IF($F$23&lt;=800,4800,IF($F$23&lt;=2000,7400)))</f>
        <v>2500</v>
      </c>
      <c r="T51" s="128">
        <f>+IF($F$11&lt;24,S51,S51+$R$23)</f>
        <v>2500</v>
      </c>
    </row>
    <row r="52" spans="2:21" ht="18" thickBot="1" x14ac:dyDescent="0.35">
      <c r="B52" s="1"/>
      <c r="C52" s="2"/>
      <c r="D52" s="17" t="s">
        <v>319</v>
      </c>
      <c r="E52" s="2"/>
      <c r="F52" s="228">
        <f>$F$7</f>
        <v>0</v>
      </c>
      <c r="G52" s="14" t="s">
        <v>321</v>
      </c>
      <c r="H52" s="38"/>
      <c r="I52" s="445" t="s">
        <v>396</v>
      </c>
      <c r="J52" s="445"/>
      <c r="K52" s="445"/>
      <c r="L52" s="217"/>
      <c r="M52" s="173"/>
      <c r="N52" s="38"/>
      <c r="R52" s="65">
        <v>6.2E-2</v>
      </c>
      <c r="S52" s="7">
        <f>IF($F$23&lt;=300,3600,IF($F$23&lt;=800,5400,IF($F$23&lt;=2000,8400)))</f>
        <v>3600</v>
      </c>
      <c r="T52" s="128">
        <f>+IF($F$11&lt;24,S52,S52+$R$23)</f>
        <v>3600</v>
      </c>
    </row>
    <row r="53" spans="2:21" ht="18" customHeight="1" thickBot="1" x14ac:dyDescent="0.35">
      <c r="B53" s="50"/>
      <c r="C53" s="227"/>
      <c r="D53" s="14"/>
      <c r="E53" s="2"/>
      <c r="F53" s="57"/>
      <c r="G53" s="14"/>
      <c r="H53" s="227"/>
      <c r="I53" s="227"/>
      <c r="J53" s="46"/>
      <c r="K53" s="181"/>
      <c r="L53" s="180"/>
      <c r="M53" s="173"/>
      <c r="N53" s="46"/>
      <c r="R53" s="65">
        <v>0.125</v>
      </c>
      <c r="S53" s="7">
        <f>IF($F$23&lt;=300,4800,IF($F$23&lt;=800,6400,IF($F$23&lt;=2000,9400)))</f>
        <v>4800</v>
      </c>
      <c r="T53" s="128">
        <f>+IF($F$11&lt;24,S53,S53+$R$23)</f>
        <v>4800</v>
      </c>
    </row>
    <row r="54" spans="2:21" ht="18.75" customHeight="1" thickBot="1" x14ac:dyDescent="0.3">
      <c r="B54" s="440" t="s">
        <v>389</v>
      </c>
      <c r="C54" s="187"/>
      <c r="D54" s="188" t="s">
        <v>390</v>
      </c>
      <c r="E54" s="189"/>
      <c r="F54" s="224" t="e">
        <f>LOOKUP(F52,R50:R54,T50:T54)</f>
        <v>#N/A</v>
      </c>
      <c r="G54" s="210" t="s">
        <v>19</v>
      </c>
      <c r="H54" s="220"/>
      <c r="I54" s="431" t="e">
        <f>IF(T58&lt;=0.75,$R$45,IF(T58&lt;=0.9,$R$46,IF(T58&lt;1,$R$47,IF(T58&gt;=1,$R$48))))</f>
        <v>#N/A</v>
      </c>
      <c r="J54" s="431"/>
      <c r="K54" s="431"/>
      <c r="L54" s="221"/>
      <c r="M54" s="173"/>
      <c r="N54" s="46"/>
      <c r="R54" s="127" t="s">
        <v>437</v>
      </c>
      <c r="S54" s="7">
        <f>IF($F$23&lt;=300,3600,IF($F$23&lt;=800,5400,IF($F$23&lt;=2000,8400)))</f>
        <v>3600</v>
      </c>
      <c r="T54" s="128">
        <f>+IF($F$11&lt;24,S54,S54+$R$23)</f>
        <v>3600</v>
      </c>
    </row>
    <row r="55" spans="2:21" ht="3.75" customHeight="1" thickBot="1" x14ac:dyDescent="0.35">
      <c r="B55" s="440"/>
      <c r="C55" s="190"/>
      <c r="D55" s="191"/>
      <c r="E55" s="192"/>
      <c r="F55" s="193"/>
      <c r="G55" s="191"/>
      <c r="H55" s="190"/>
      <c r="I55" s="431"/>
      <c r="J55" s="431"/>
      <c r="K55" s="431"/>
      <c r="L55" s="221"/>
      <c r="M55" s="173"/>
      <c r="N55" s="39"/>
      <c r="R55" s="7">
        <f>IF($F$23&lt;301,2500,IF($F$23&lt;801,4800,IF($F$23&lt;2001,7400,IF($F$23&gt;2000,$R$11))))</f>
        <v>2500</v>
      </c>
      <c r="S55" s="7">
        <f>IF($F$23&lt;301,3600,IF($F$23&lt;801,5400,IF($F$23&lt;2001,8400,IF($F$23&gt;2000,$R$11))))</f>
        <v>3600</v>
      </c>
      <c r="T55" s="7">
        <f>IF($F$23&lt;301,4800,IF($F$23&lt;801,6400,IF($F$23&lt;2001,9400,IF($F$23&gt;2000,$R$11))))</f>
        <v>4800</v>
      </c>
    </row>
    <row r="56" spans="2:21" ht="18" thickBot="1" x14ac:dyDescent="0.35">
      <c r="B56" s="440"/>
      <c r="C56" s="190"/>
      <c r="D56" s="194" t="s">
        <v>391</v>
      </c>
      <c r="E56" s="195"/>
      <c r="F56" s="225" t="e">
        <f>(F54*$F$43/$F$41)</f>
        <v>#N/A</v>
      </c>
      <c r="G56" s="211" t="s">
        <v>16</v>
      </c>
      <c r="H56" s="190"/>
      <c r="I56" s="431"/>
      <c r="J56" s="431"/>
      <c r="K56" s="431"/>
      <c r="L56" s="221"/>
      <c r="M56" s="173"/>
      <c r="N56" s="39"/>
    </row>
    <row r="57" spans="2:21" ht="3.75" customHeight="1" thickBot="1" x14ac:dyDescent="0.35">
      <c r="B57" s="440"/>
      <c r="C57" s="196"/>
      <c r="D57" s="197"/>
      <c r="E57" s="192"/>
      <c r="F57" s="193"/>
      <c r="G57" s="212"/>
      <c r="H57" s="196"/>
      <c r="I57" s="431"/>
      <c r="J57" s="431"/>
      <c r="K57" s="431"/>
      <c r="L57" s="221"/>
      <c r="M57" s="173"/>
      <c r="N57" s="94"/>
    </row>
    <row r="58" spans="2:21" ht="18" thickBot="1" x14ac:dyDescent="0.35">
      <c r="B58" s="440"/>
      <c r="C58" s="196"/>
      <c r="D58" s="197" t="s">
        <v>392</v>
      </c>
      <c r="E58" s="192"/>
      <c r="F58" s="225" t="e">
        <f>(F54*$F$33/$F$41)</f>
        <v>#N/A</v>
      </c>
      <c r="G58" s="213" t="s">
        <v>19</v>
      </c>
      <c r="H58" s="196"/>
      <c r="I58" s="431"/>
      <c r="J58" s="431"/>
      <c r="K58" s="431"/>
      <c r="L58" s="221"/>
      <c r="M58" s="173"/>
      <c r="N58" s="94"/>
      <c r="R58" s="206" t="s">
        <v>394</v>
      </c>
      <c r="S58" s="207"/>
      <c r="T58" s="208" t="e">
        <f>F58/$F$29</f>
        <v>#N/A</v>
      </c>
    </row>
    <row r="59" spans="2:21" ht="19.2" customHeight="1" thickBot="1" x14ac:dyDescent="0.3">
      <c r="B59" s="1"/>
      <c r="C59" s="11"/>
      <c r="D59" s="95"/>
      <c r="E59" s="94"/>
      <c r="F59" s="96"/>
      <c r="G59" s="97"/>
      <c r="H59" s="84"/>
      <c r="I59" s="84"/>
      <c r="J59" s="84"/>
      <c r="K59" s="181"/>
      <c r="L59" s="180"/>
      <c r="M59" s="173"/>
      <c r="N59" s="84"/>
    </row>
    <row r="60" spans="2:21" ht="18" customHeight="1" thickBot="1" x14ac:dyDescent="0.3">
      <c r="B60" s="440" t="s">
        <v>393</v>
      </c>
      <c r="C60" s="198"/>
      <c r="D60" s="199" t="s">
        <v>390</v>
      </c>
      <c r="E60" s="196"/>
      <c r="F60" s="392" t="str">
        <f>IF($F$7="3/32 (EPIX)","CHANGE THK","15000")</f>
        <v>15000</v>
      </c>
      <c r="G60" s="214" t="s">
        <v>19</v>
      </c>
      <c r="H60" s="220"/>
      <c r="I60" s="431" t="e">
        <f>IF(T64&lt;=0.75,$R$45,IF(T64&lt;=0.9,$R$46,IF(T64&lt;1,$R$47,IF(T64&gt;=1,$R$48))))</f>
        <v>#N/A</v>
      </c>
      <c r="J60" s="431"/>
      <c r="K60" s="431"/>
      <c r="L60" s="221"/>
      <c r="M60" s="174"/>
      <c r="N60" s="84"/>
    </row>
    <row r="61" spans="2:21" ht="3.75" customHeight="1" thickBot="1" x14ac:dyDescent="0.3">
      <c r="B61" s="440"/>
      <c r="C61" s="198"/>
      <c r="D61" s="188"/>
      <c r="E61" s="201"/>
      <c r="F61" s="202"/>
      <c r="G61" s="215"/>
      <c r="H61" s="220"/>
      <c r="I61" s="431"/>
      <c r="J61" s="431"/>
      <c r="K61" s="431"/>
      <c r="L61" s="221"/>
      <c r="M61" s="174"/>
      <c r="N61" s="84"/>
    </row>
    <row r="62" spans="2:21" ht="21" customHeight="1" thickBot="1" x14ac:dyDescent="0.35">
      <c r="B62" s="440"/>
      <c r="C62" s="198"/>
      <c r="D62" s="188" t="s">
        <v>391</v>
      </c>
      <c r="E62" s="198"/>
      <c r="F62" s="225" t="e">
        <f>(F60*$F$43/$F$41)</f>
        <v>#N/A</v>
      </c>
      <c r="G62" s="210" t="s">
        <v>16</v>
      </c>
      <c r="H62" s="222"/>
      <c r="I62" s="431"/>
      <c r="J62" s="431"/>
      <c r="K62" s="431"/>
      <c r="L62" s="221"/>
      <c r="M62" s="174"/>
      <c r="N62" s="84"/>
    </row>
    <row r="63" spans="2:21" ht="3.75" customHeight="1" thickBot="1" x14ac:dyDescent="0.3">
      <c r="B63" s="440"/>
      <c r="C63" s="201"/>
      <c r="D63" s="203"/>
      <c r="E63" s="198"/>
      <c r="F63" s="204"/>
      <c r="G63" s="216"/>
      <c r="H63" s="223"/>
      <c r="I63" s="431"/>
      <c r="J63" s="431"/>
      <c r="K63" s="431"/>
      <c r="L63" s="221"/>
      <c r="M63" s="175"/>
      <c r="N63" s="84"/>
    </row>
    <row r="64" spans="2:21" ht="21.6" thickBot="1" x14ac:dyDescent="0.35">
      <c r="B64" s="440"/>
      <c r="C64" s="205"/>
      <c r="D64" s="188" t="s">
        <v>392</v>
      </c>
      <c r="E64" s="198"/>
      <c r="F64" s="225" t="e">
        <f>(F60*$F$33/$F$41)</f>
        <v>#N/A</v>
      </c>
      <c r="G64" s="213" t="s">
        <v>19</v>
      </c>
      <c r="H64" s="223"/>
      <c r="I64" s="431"/>
      <c r="J64" s="431"/>
      <c r="K64" s="431"/>
      <c r="L64" s="221"/>
      <c r="M64" s="175"/>
      <c r="N64" s="84"/>
      <c r="R64" s="206" t="s">
        <v>395</v>
      </c>
      <c r="S64" s="207"/>
      <c r="T64" s="208" t="e">
        <f>F64/$F$29</f>
        <v>#N/A</v>
      </c>
    </row>
    <row r="65" spans="2:21" ht="3.75" customHeight="1" thickBot="1" x14ac:dyDescent="0.3">
      <c r="B65" s="59"/>
      <c r="C65" s="60"/>
      <c r="D65" s="61"/>
      <c r="E65" s="60"/>
      <c r="F65" s="62"/>
      <c r="G65" s="60"/>
      <c r="H65" s="184"/>
      <c r="I65" s="184"/>
      <c r="J65" s="184"/>
      <c r="K65" s="185"/>
      <c r="L65" s="186"/>
      <c r="M65" s="171"/>
      <c r="N65" s="164"/>
    </row>
    <row r="66" spans="2:21" ht="18.75" customHeight="1" thickTop="1" thickBot="1" x14ac:dyDescent="0.3">
      <c r="B66" s="38"/>
      <c r="C66" s="44"/>
      <c r="D66" s="48"/>
      <c r="E66" s="44"/>
      <c r="F66" s="44"/>
      <c r="G66" s="45"/>
      <c r="H66" s="38"/>
      <c r="I66" s="38"/>
      <c r="J66" s="38"/>
      <c r="K66" s="176"/>
      <c r="L66" s="176"/>
      <c r="M66" s="176"/>
      <c r="N66" s="38"/>
    </row>
    <row r="67" spans="2:21" ht="36" customHeight="1" thickTop="1" x14ac:dyDescent="0.25">
      <c r="B67" s="244" t="s">
        <v>403</v>
      </c>
      <c r="C67" s="248"/>
      <c r="D67" s="248"/>
      <c r="E67" s="248"/>
      <c r="F67" s="248"/>
      <c r="G67" s="248"/>
      <c r="H67" s="438" t="e">
        <f>IF(F71&gt;10000,U67," ")</f>
        <v>#N/A</v>
      </c>
      <c r="I67" s="438"/>
      <c r="J67" s="438"/>
      <c r="K67" s="438"/>
      <c r="L67" s="439"/>
      <c r="M67" s="170"/>
      <c r="N67" s="167"/>
      <c r="R67" s="65">
        <v>1.5625E-2</v>
      </c>
      <c r="S67" s="7">
        <f>IF($F$23&lt;=300,2500,IF($F$23&lt;=800,4800,IF($F$23&lt;=2000,7400)))</f>
        <v>2500</v>
      </c>
      <c r="T67" s="128">
        <f>+IF($F$11&lt;24,S67,S67+$R$23)</f>
        <v>2500</v>
      </c>
      <c r="U67" s="7" t="s">
        <v>326</v>
      </c>
    </row>
    <row r="68" spans="2:21" ht="18.75" customHeight="1" thickBot="1" x14ac:dyDescent="0.3">
      <c r="B68" s="443" t="str">
        <f>IF($F$23&gt;500,"NOT RECOMMENDED FOR THE GIVEN PRESSURE"," ")</f>
        <v xml:space="preserve"> </v>
      </c>
      <c r="C68" s="444"/>
      <c r="D68" s="444"/>
      <c r="E68" s="444"/>
      <c r="F68" s="444"/>
      <c r="G68" s="444"/>
      <c r="H68" s="444" t="str">
        <f>IF($F$7=$R$31,"THICKNESS APPLIES TO GYLON EPIX ONLY"," ")</f>
        <v xml:space="preserve"> </v>
      </c>
      <c r="I68" s="444"/>
      <c r="J68" s="444"/>
      <c r="K68" s="444"/>
      <c r="L68" s="449"/>
      <c r="M68" s="171"/>
      <c r="N68" s="164"/>
      <c r="R68" s="65">
        <v>3.125E-2</v>
      </c>
      <c r="S68" s="7">
        <f>IF($F$23&lt;=300,2500,IF($F$23&lt;=800,4800,IF($F$23&lt;=2000,7400)))</f>
        <v>2500</v>
      </c>
      <c r="T68" s="128">
        <f>+IF($F$11&lt;24,S68,S68+$R$23)</f>
        <v>2500</v>
      </c>
    </row>
    <row r="69" spans="2:21" ht="18.75" customHeight="1" thickBot="1" x14ac:dyDescent="0.35">
      <c r="B69" s="1"/>
      <c r="C69" s="2"/>
      <c r="D69" s="17" t="s">
        <v>319</v>
      </c>
      <c r="E69" s="2"/>
      <c r="F69" s="228">
        <f>($F$7)</f>
        <v>0</v>
      </c>
      <c r="G69" s="14" t="s">
        <v>321</v>
      </c>
      <c r="H69" s="38"/>
      <c r="I69" s="445" t="s">
        <v>396</v>
      </c>
      <c r="J69" s="445"/>
      <c r="K69" s="445"/>
      <c r="L69" s="217"/>
      <c r="M69" s="173"/>
      <c r="N69" s="38"/>
      <c r="R69" s="65">
        <v>6.2E-2</v>
      </c>
      <c r="S69" s="7">
        <f>IF($F$23&lt;=300,3600,IF($F$23&lt;=800,5400,IF($F$23&lt;=2000,8400)))</f>
        <v>3600</v>
      </c>
      <c r="T69" s="128">
        <f>+IF($F$11&lt;24,S69,S69+$R$23)</f>
        <v>3600</v>
      </c>
    </row>
    <row r="70" spans="2:21" ht="18" customHeight="1" thickBot="1" x14ac:dyDescent="0.35">
      <c r="B70" s="50"/>
      <c r="C70" s="227"/>
      <c r="D70" s="14"/>
      <c r="E70" s="2"/>
      <c r="F70" s="57"/>
      <c r="G70" s="14"/>
      <c r="H70" s="227"/>
      <c r="I70" s="227"/>
      <c r="J70" s="46"/>
      <c r="K70" s="181"/>
      <c r="L70" s="180"/>
      <c r="M70" s="173"/>
      <c r="N70" s="46"/>
      <c r="R70" s="65">
        <v>0.125</v>
      </c>
      <c r="S70" s="7">
        <f>IF($F$23&lt;=300,4800,IF($F$23&lt;=800,6400,IF($F$23&lt;=2000,9400)))</f>
        <v>4800</v>
      </c>
      <c r="T70" s="128">
        <f>+IF($F$11&lt;24,S70,S70+$R$23)</f>
        <v>4800</v>
      </c>
    </row>
    <row r="71" spans="2:21" ht="18.75" customHeight="1" thickBot="1" x14ac:dyDescent="0.3">
      <c r="B71" s="440" t="s">
        <v>389</v>
      </c>
      <c r="C71" s="187"/>
      <c r="D71" s="188" t="s">
        <v>390</v>
      </c>
      <c r="E71" s="189"/>
      <c r="F71" s="224" t="e">
        <f>LOOKUP(F69,R67:R70,T67:T70)</f>
        <v>#N/A</v>
      </c>
      <c r="G71" s="210" t="s">
        <v>19</v>
      </c>
      <c r="H71" s="220"/>
      <c r="I71" s="431" t="e">
        <f>IF(T75&lt;=0.75,$R$45,IF(T75&lt;=0.9,$R$46,IF(T75&lt;1,$R$47,IF(T75&gt;=1,$R$48))))</f>
        <v>#N/A</v>
      </c>
      <c r="J71" s="431"/>
      <c r="K71" s="431"/>
      <c r="L71" s="221"/>
      <c r="M71" s="173"/>
      <c r="N71" s="46"/>
    </row>
    <row r="72" spans="2:21" ht="3.75" customHeight="1" thickBot="1" x14ac:dyDescent="0.35">
      <c r="B72" s="440"/>
      <c r="C72" s="190"/>
      <c r="D72" s="191"/>
      <c r="E72" s="192"/>
      <c r="F72" s="193"/>
      <c r="G72" s="191"/>
      <c r="H72" s="190"/>
      <c r="I72" s="431"/>
      <c r="J72" s="431"/>
      <c r="K72" s="431"/>
      <c r="L72" s="221"/>
      <c r="M72" s="173"/>
      <c r="N72" s="39"/>
      <c r="R72" s="7">
        <f>IF($F$23&lt;301,2500,IF($F$23&lt;801,4800,IF($F$23&lt;2001,7400,IF($F$23&gt;2000,$R$11))))</f>
        <v>2500</v>
      </c>
      <c r="S72" s="7">
        <f>IF($F$23&lt;301,3600,IF($F$23&lt;801,5400,IF($F$23&lt;2001,8400,IF($F$23&gt;2000,$R$11))))</f>
        <v>3600</v>
      </c>
    </row>
    <row r="73" spans="2:21" ht="18.75" customHeight="1" thickBot="1" x14ac:dyDescent="0.35">
      <c r="B73" s="440"/>
      <c r="C73" s="190"/>
      <c r="D73" s="194" t="s">
        <v>391</v>
      </c>
      <c r="E73" s="195"/>
      <c r="F73" s="225" t="e">
        <f>(F71*$F$43/$F$41)</f>
        <v>#N/A</v>
      </c>
      <c r="G73" s="211" t="s">
        <v>16</v>
      </c>
      <c r="H73" s="190"/>
      <c r="I73" s="431"/>
      <c r="J73" s="431"/>
      <c r="K73" s="431"/>
      <c r="L73" s="221"/>
      <c r="M73" s="173"/>
      <c r="N73" s="39"/>
    </row>
    <row r="74" spans="2:21" ht="3.75" customHeight="1" thickBot="1" x14ac:dyDescent="0.35">
      <c r="B74" s="440"/>
      <c r="C74" s="196"/>
      <c r="D74" s="197"/>
      <c r="E74" s="192"/>
      <c r="F74" s="193"/>
      <c r="G74" s="212"/>
      <c r="H74" s="196"/>
      <c r="I74" s="431"/>
      <c r="J74" s="431"/>
      <c r="K74" s="431"/>
      <c r="L74" s="221"/>
      <c r="M74" s="173"/>
      <c r="N74" s="94"/>
    </row>
    <row r="75" spans="2:21" ht="18.75" customHeight="1" thickBot="1" x14ac:dyDescent="0.35">
      <c r="B75" s="440"/>
      <c r="C75" s="196"/>
      <c r="D75" s="197" t="s">
        <v>392</v>
      </c>
      <c r="E75" s="192"/>
      <c r="F75" s="225" t="e">
        <f>(F71*$F$33/$F$41)</f>
        <v>#N/A</v>
      </c>
      <c r="G75" s="213" t="s">
        <v>19</v>
      </c>
      <c r="H75" s="196"/>
      <c r="I75" s="431"/>
      <c r="J75" s="431"/>
      <c r="K75" s="431"/>
      <c r="L75" s="221"/>
      <c r="M75" s="173"/>
      <c r="N75" s="94"/>
      <c r="R75" s="206" t="s">
        <v>394</v>
      </c>
      <c r="S75" s="207"/>
      <c r="T75" s="208" t="e">
        <f>F75/$F$29</f>
        <v>#N/A</v>
      </c>
    </row>
    <row r="76" spans="2:21" ht="18" customHeight="1" thickBot="1" x14ac:dyDescent="0.3">
      <c r="B76" s="1"/>
      <c r="C76" s="11"/>
      <c r="D76" s="95"/>
      <c r="E76" s="94"/>
      <c r="F76" s="96"/>
      <c r="G76" s="97"/>
      <c r="H76" s="84"/>
      <c r="I76" s="84"/>
      <c r="J76" s="84"/>
      <c r="K76" s="181"/>
      <c r="L76" s="180"/>
      <c r="M76" s="173"/>
      <c r="N76" s="84"/>
    </row>
    <row r="77" spans="2:21" ht="18.75" customHeight="1" thickBot="1" x14ac:dyDescent="0.3">
      <c r="B77" s="440" t="s">
        <v>393</v>
      </c>
      <c r="C77" s="198"/>
      <c r="D77" s="199" t="s">
        <v>390</v>
      </c>
      <c r="E77" s="196"/>
      <c r="F77" s="226">
        <v>10000</v>
      </c>
      <c r="G77" s="214" t="s">
        <v>19</v>
      </c>
      <c r="H77" s="220"/>
      <c r="I77" s="431" t="e">
        <f>IF(T81&lt;=0.75,$R$45,IF(T81&lt;=0.9,$R$46,IF(T81&lt;1,$R$47,IF(T81&gt;=1,$R$48))))</f>
        <v>#N/A</v>
      </c>
      <c r="J77" s="431"/>
      <c r="K77" s="431"/>
      <c r="L77" s="221"/>
      <c r="M77" s="174"/>
      <c r="N77" s="84"/>
    </row>
    <row r="78" spans="2:21" ht="3.75" customHeight="1" thickBot="1" x14ac:dyDescent="0.3">
      <c r="B78" s="440"/>
      <c r="C78" s="198"/>
      <c r="D78" s="188"/>
      <c r="E78" s="201"/>
      <c r="F78" s="202"/>
      <c r="G78" s="215"/>
      <c r="H78" s="220"/>
      <c r="I78" s="431"/>
      <c r="J78" s="431"/>
      <c r="K78" s="431"/>
      <c r="L78" s="221"/>
      <c r="M78" s="174"/>
      <c r="N78" s="84"/>
    </row>
    <row r="79" spans="2:21" ht="18.75" customHeight="1" thickBot="1" x14ac:dyDescent="0.35">
      <c r="B79" s="440"/>
      <c r="C79" s="198"/>
      <c r="D79" s="188" t="s">
        <v>391</v>
      </c>
      <c r="E79" s="198"/>
      <c r="F79" s="225" t="e">
        <f>(F77*$F$43/$F$41)</f>
        <v>#N/A</v>
      </c>
      <c r="G79" s="210" t="s">
        <v>16</v>
      </c>
      <c r="H79" s="222"/>
      <c r="I79" s="431"/>
      <c r="J79" s="431"/>
      <c r="K79" s="431"/>
      <c r="L79" s="221"/>
      <c r="M79" s="174"/>
      <c r="N79" s="84"/>
    </row>
    <row r="80" spans="2:21" ht="3.75" customHeight="1" thickBot="1" x14ac:dyDescent="0.3">
      <c r="B80" s="440"/>
      <c r="C80" s="201"/>
      <c r="D80" s="203"/>
      <c r="E80" s="198"/>
      <c r="F80" s="204"/>
      <c r="G80" s="216"/>
      <c r="H80" s="223"/>
      <c r="I80" s="431"/>
      <c r="J80" s="431"/>
      <c r="K80" s="431"/>
      <c r="L80" s="221"/>
      <c r="M80" s="175"/>
      <c r="N80" s="84"/>
    </row>
    <row r="81" spans="2:21" ht="18.75" customHeight="1" thickBot="1" x14ac:dyDescent="0.35">
      <c r="B81" s="440"/>
      <c r="C81" s="205"/>
      <c r="D81" s="188" t="s">
        <v>392</v>
      </c>
      <c r="E81" s="198"/>
      <c r="F81" s="225" t="e">
        <f>(F77*$F$33/$F$41)</f>
        <v>#N/A</v>
      </c>
      <c r="G81" s="213" t="s">
        <v>19</v>
      </c>
      <c r="H81" s="223"/>
      <c r="I81" s="431"/>
      <c r="J81" s="431"/>
      <c r="K81" s="431"/>
      <c r="L81" s="221"/>
      <c r="M81" s="175"/>
      <c r="N81" s="84"/>
      <c r="R81" s="206" t="s">
        <v>395</v>
      </c>
      <c r="S81" s="207"/>
      <c r="T81" s="208" t="e">
        <f>F81/$F$29</f>
        <v>#N/A</v>
      </c>
    </row>
    <row r="82" spans="2:21" ht="3.75" customHeight="1" thickBot="1" x14ac:dyDescent="0.3">
      <c r="B82" s="59"/>
      <c r="C82" s="60"/>
      <c r="D82" s="61"/>
      <c r="E82" s="60"/>
      <c r="F82" s="62"/>
      <c r="G82" s="60"/>
      <c r="H82" s="184"/>
      <c r="I82" s="184"/>
      <c r="J82" s="184"/>
      <c r="K82" s="185"/>
      <c r="L82" s="186"/>
      <c r="M82" s="171"/>
      <c r="N82" s="164"/>
    </row>
    <row r="83" spans="2:21" ht="18.75" customHeight="1" thickTop="1" thickBot="1" x14ac:dyDescent="0.3">
      <c r="B83" s="38"/>
      <c r="C83" s="44"/>
      <c r="D83" s="48"/>
      <c r="E83" s="44"/>
      <c r="F83" s="44"/>
      <c r="G83" s="45"/>
      <c r="H83" s="38"/>
      <c r="I83" s="38"/>
      <c r="J83" s="38"/>
      <c r="K83" s="176"/>
      <c r="L83" s="176"/>
      <c r="M83" s="176"/>
      <c r="N83" s="38"/>
    </row>
    <row r="84" spans="2:21" ht="36" customHeight="1" thickTop="1" x14ac:dyDescent="0.25">
      <c r="B84" s="244" t="s">
        <v>439</v>
      </c>
      <c r="C84" s="248"/>
      <c r="D84" s="248"/>
      <c r="E84" s="248"/>
      <c r="F84" s="248"/>
      <c r="G84" s="248"/>
      <c r="H84" s="438" t="e">
        <f>IF(F88&gt;10000,U84," ")</f>
        <v>#N/A</v>
      </c>
      <c r="I84" s="438"/>
      <c r="J84" s="438"/>
      <c r="K84" s="438"/>
      <c r="L84" s="439"/>
      <c r="M84" s="170"/>
      <c r="N84" s="167"/>
      <c r="R84" s="65">
        <v>1.5625E-2</v>
      </c>
      <c r="S84" s="7">
        <f>IF($F$23&lt;=300,2500,IF($F$23&lt;=800,4800,IF($F$23&lt;=2000,7400)))</f>
        <v>2500</v>
      </c>
      <c r="T84" s="128">
        <f>+IF($F$11&lt;24,S84,S84+$R$23)</f>
        <v>2500</v>
      </c>
      <c r="U84" s="7" t="s">
        <v>326</v>
      </c>
    </row>
    <row r="85" spans="2:21" ht="18.75" customHeight="1" thickBot="1" x14ac:dyDescent="0.3">
      <c r="B85" s="443" t="str">
        <f>IF($F$23&gt;2000,"NOT RECOMMENDED FOR THE GIVEN PRESSURE"," ")</f>
        <v xml:space="preserve"> </v>
      </c>
      <c r="C85" s="444"/>
      <c r="D85" s="444"/>
      <c r="E85" s="444"/>
      <c r="F85" s="444"/>
      <c r="G85" s="444"/>
      <c r="H85" s="444" t="str">
        <f>IF($F$7=$R$31,"THICKNESS APPLIES TO GYLON EPIX ONLY"," ")</f>
        <v xml:space="preserve"> </v>
      </c>
      <c r="I85" s="444"/>
      <c r="J85" s="444"/>
      <c r="K85" s="444"/>
      <c r="L85" s="449"/>
      <c r="M85" s="171"/>
      <c r="N85" s="164"/>
      <c r="R85" s="65">
        <v>3.125E-2</v>
      </c>
      <c r="S85" s="7">
        <f>IF($F$23&lt;=300,2500,IF($F$23&lt;=800,4800,IF($F$23&lt;=2000,7400)))</f>
        <v>2500</v>
      </c>
      <c r="T85" s="128">
        <f>+IF($F$11&lt;24,S85,S85+$R$23)</f>
        <v>2500</v>
      </c>
    </row>
    <row r="86" spans="2:21" ht="18.75" customHeight="1" thickBot="1" x14ac:dyDescent="0.35">
      <c r="B86" s="1"/>
      <c r="C86" s="2"/>
      <c r="D86" s="17" t="s">
        <v>319</v>
      </c>
      <c r="E86" s="2"/>
      <c r="F86" s="228">
        <f>($F$7)</f>
        <v>0</v>
      </c>
      <c r="G86" s="14" t="s">
        <v>321</v>
      </c>
      <c r="H86" s="38"/>
      <c r="I86" s="445" t="s">
        <v>396</v>
      </c>
      <c r="J86" s="445"/>
      <c r="K86" s="445"/>
      <c r="L86" s="217"/>
      <c r="M86" s="173"/>
      <c r="N86" s="38"/>
      <c r="R86" s="65">
        <v>6.2E-2</v>
      </c>
      <c r="S86" s="7">
        <f>IF($F$23&lt;=300,3600,IF($F$23&lt;=800,5400,IF($F$23&lt;=2000,8400)))</f>
        <v>3600</v>
      </c>
      <c r="T86" s="128">
        <f>+IF($F$11&lt;24,S86,S86+$R$23)</f>
        <v>3600</v>
      </c>
    </row>
    <row r="87" spans="2:21" ht="18" customHeight="1" thickBot="1" x14ac:dyDescent="0.35">
      <c r="B87" s="50"/>
      <c r="C87" s="227"/>
      <c r="D87" s="14"/>
      <c r="E87" s="2"/>
      <c r="F87" s="57"/>
      <c r="G87" s="14"/>
      <c r="H87" s="227"/>
      <c r="I87" s="227"/>
      <c r="J87" s="46"/>
      <c r="K87" s="181"/>
      <c r="L87" s="180"/>
      <c r="M87" s="173"/>
      <c r="N87" s="46"/>
      <c r="R87" s="65">
        <v>0.125</v>
      </c>
      <c r="S87" s="7">
        <f>IF($F$23&lt;=300,4800,IF($F$23&lt;=800,6400,IF($F$23&lt;=2000,9400)))</f>
        <v>4800</v>
      </c>
      <c r="T87" s="128">
        <f>+IF($F$11&lt;24,S87,S87+$R$23)</f>
        <v>4800</v>
      </c>
    </row>
    <row r="88" spans="2:21" ht="18.75" customHeight="1" thickBot="1" x14ac:dyDescent="0.3">
      <c r="B88" s="440" t="s">
        <v>389</v>
      </c>
      <c r="C88" s="187"/>
      <c r="D88" s="188" t="s">
        <v>390</v>
      </c>
      <c r="E88" s="189"/>
      <c r="F88" s="224" t="e">
        <f>LOOKUP(F86,R84:R87,T84:T87)</f>
        <v>#N/A</v>
      </c>
      <c r="G88" s="210" t="s">
        <v>19</v>
      </c>
      <c r="H88" s="220"/>
      <c r="I88" s="431" t="e">
        <f>IF(T92&lt;=0.75,$R$45,IF(T92&lt;=0.9,$R$46,IF(T92&lt;1,$R$47,IF(T92&gt;=1,$R$48))))</f>
        <v>#N/A</v>
      </c>
      <c r="J88" s="431"/>
      <c r="K88" s="431"/>
      <c r="L88" s="221"/>
      <c r="M88" s="173"/>
      <c r="N88" s="46"/>
    </row>
    <row r="89" spans="2:21" ht="3.75" customHeight="1" thickBot="1" x14ac:dyDescent="0.35">
      <c r="B89" s="440"/>
      <c r="C89" s="190"/>
      <c r="D89" s="191"/>
      <c r="E89" s="192"/>
      <c r="F89" s="193"/>
      <c r="G89" s="191"/>
      <c r="H89" s="190"/>
      <c r="I89" s="431"/>
      <c r="J89" s="431"/>
      <c r="K89" s="431"/>
      <c r="L89" s="221"/>
      <c r="M89" s="173"/>
      <c r="N89" s="39"/>
      <c r="R89" s="7">
        <f>IF($F$23&lt;301,2500,IF($F$23&lt;801,4800,IF($F$23&lt;2001,7400,IF($F$23&gt;2000,$R$11))))</f>
        <v>2500</v>
      </c>
      <c r="S89" s="7">
        <f>IF($F$23&lt;301,3600,IF($F$23&lt;801,5400,IF($F$23&lt;2001,8400,IF($F$23&gt;2000,$R$11))))</f>
        <v>3600</v>
      </c>
    </row>
    <row r="90" spans="2:21" ht="18.75" customHeight="1" thickBot="1" x14ac:dyDescent="0.35">
      <c r="B90" s="440"/>
      <c r="C90" s="190"/>
      <c r="D90" s="194" t="s">
        <v>391</v>
      </c>
      <c r="E90" s="195"/>
      <c r="F90" s="225" t="e">
        <f>(F88*$F$43/$F$41)</f>
        <v>#N/A</v>
      </c>
      <c r="G90" s="211" t="s">
        <v>16</v>
      </c>
      <c r="H90" s="190"/>
      <c r="I90" s="431"/>
      <c r="J90" s="431"/>
      <c r="K90" s="431"/>
      <c r="L90" s="221"/>
      <c r="M90" s="173"/>
      <c r="N90" s="39"/>
    </row>
    <row r="91" spans="2:21" ht="3.75" customHeight="1" thickBot="1" x14ac:dyDescent="0.35">
      <c r="B91" s="440"/>
      <c r="C91" s="196"/>
      <c r="D91" s="197"/>
      <c r="E91" s="192"/>
      <c r="F91" s="193"/>
      <c r="G91" s="212"/>
      <c r="H91" s="196"/>
      <c r="I91" s="431"/>
      <c r="J91" s="431"/>
      <c r="K91" s="431"/>
      <c r="L91" s="221"/>
      <c r="M91" s="173"/>
      <c r="N91" s="94"/>
    </row>
    <row r="92" spans="2:21" ht="18.75" customHeight="1" thickBot="1" x14ac:dyDescent="0.35">
      <c r="B92" s="440"/>
      <c r="C92" s="196"/>
      <c r="D92" s="197" t="s">
        <v>392</v>
      </c>
      <c r="E92" s="192"/>
      <c r="F92" s="225" t="e">
        <f>(F88*$F$33/$F$41)</f>
        <v>#N/A</v>
      </c>
      <c r="G92" s="213" t="s">
        <v>19</v>
      </c>
      <c r="H92" s="196"/>
      <c r="I92" s="431"/>
      <c r="J92" s="431"/>
      <c r="K92" s="431"/>
      <c r="L92" s="221"/>
      <c r="M92" s="173"/>
      <c r="N92" s="94"/>
      <c r="R92" s="206" t="s">
        <v>394</v>
      </c>
      <c r="S92" s="207"/>
      <c r="T92" s="208" t="e">
        <f>F92/$F$29</f>
        <v>#N/A</v>
      </c>
    </row>
    <row r="93" spans="2:21" ht="18" customHeight="1" thickBot="1" x14ac:dyDescent="0.3">
      <c r="B93" s="1"/>
      <c r="C93" s="11"/>
      <c r="D93" s="95"/>
      <c r="E93" s="94"/>
      <c r="F93" s="96"/>
      <c r="G93" s="97"/>
      <c r="H93" s="84"/>
      <c r="I93" s="84"/>
      <c r="J93" s="84"/>
      <c r="K93" s="181"/>
      <c r="L93" s="180"/>
      <c r="M93" s="173"/>
      <c r="N93" s="84"/>
    </row>
    <row r="94" spans="2:21" ht="18.75" customHeight="1" thickBot="1" x14ac:dyDescent="0.3">
      <c r="B94" s="440" t="s">
        <v>393</v>
      </c>
      <c r="C94" s="198"/>
      <c r="D94" s="199" t="s">
        <v>390</v>
      </c>
      <c r="E94" s="196"/>
      <c r="F94" s="226">
        <v>10000</v>
      </c>
      <c r="G94" s="214" t="s">
        <v>19</v>
      </c>
      <c r="H94" s="220"/>
      <c r="I94" s="431" t="e">
        <f>IF(T98&lt;=0.75,$R$45,IF(T98&lt;=0.9,$R$46,IF(T98&lt;1,$R$47,IF(T98&gt;=1,$R$48))))</f>
        <v>#N/A</v>
      </c>
      <c r="J94" s="431"/>
      <c r="K94" s="431"/>
      <c r="L94" s="221"/>
      <c r="M94" s="174"/>
      <c r="N94" s="84"/>
    </row>
    <row r="95" spans="2:21" ht="3.75" customHeight="1" thickBot="1" x14ac:dyDescent="0.3">
      <c r="B95" s="440"/>
      <c r="C95" s="198"/>
      <c r="D95" s="188"/>
      <c r="E95" s="201"/>
      <c r="F95" s="202"/>
      <c r="G95" s="215"/>
      <c r="H95" s="220"/>
      <c r="I95" s="431"/>
      <c r="J95" s="431"/>
      <c r="K95" s="431"/>
      <c r="L95" s="221"/>
      <c r="M95" s="174"/>
      <c r="N95" s="84"/>
    </row>
    <row r="96" spans="2:21" ht="18.75" customHeight="1" thickBot="1" x14ac:dyDescent="0.35">
      <c r="B96" s="440"/>
      <c r="C96" s="198"/>
      <c r="D96" s="188" t="s">
        <v>391</v>
      </c>
      <c r="E96" s="198"/>
      <c r="F96" s="225" t="e">
        <f>(F94*$F$43/$F$41)</f>
        <v>#N/A</v>
      </c>
      <c r="G96" s="210" t="s">
        <v>16</v>
      </c>
      <c r="H96" s="222"/>
      <c r="I96" s="431"/>
      <c r="J96" s="431"/>
      <c r="K96" s="431"/>
      <c r="L96" s="221"/>
      <c r="M96" s="174"/>
      <c r="N96" s="84"/>
    </row>
    <row r="97" spans="2:20" ht="3.75" customHeight="1" thickBot="1" x14ac:dyDescent="0.3">
      <c r="B97" s="440"/>
      <c r="C97" s="201"/>
      <c r="D97" s="203"/>
      <c r="E97" s="198"/>
      <c r="F97" s="204"/>
      <c r="G97" s="216"/>
      <c r="H97" s="223"/>
      <c r="I97" s="431"/>
      <c r="J97" s="431"/>
      <c r="K97" s="431"/>
      <c r="L97" s="221"/>
      <c r="M97" s="175"/>
      <c r="N97" s="84"/>
    </row>
    <row r="98" spans="2:20" ht="18.75" customHeight="1" thickBot="1" x14ac:dyDescent="0.35">
      <c r="B98" s="440"/>
      <c r="C98" s="205"/>
      <c r="D98" s="188" t="s">
        <v>392</v>
      </c>
      <c r="E98" s="198"/>
      <c r="F98" s="225" t="e">
        <f>(F94*$F$33/$F$41)</f>
        <v>#N/A</v>
      </c>
      <c r="G98" s="213" t="s">
        <v>19</v>
      </c>
      <c r="H98" s="223"/>
      <c r="I98" s="431"/>
      <c r="J98" s="431"/>
      <c r="K98" s="431"/>
      <c r="L98" s="221"/>
      <c r="M98" s="175"/>
      <c r="N98" s="84"/>
      <c r="R98" s="206" t="s">
        <v>395</v>
      </c>
      <c r="S98" s="207"/>
      <c r="T98" s="208" t="e">
        <f>F98/$F$29</f>
        <v>#N/A</v>
      </c>
    </row>
    <row r="99" spans="2:20" ht="3.75" customHeight="1" thickBot="1" x14ac:dyDescent="0.3">
      <c r="B99" s="59"/>
      <c r="C99" s="60"/>
      <c r="D99" s="61"/>
      <c r="E99" s="60"/>
      <c r="F99" s="62"/>
      <c r="G99" s="60"/>
      <c r="H99" s="184"/>
      <c r="I99" s="184"/>
      <c r="J99" s="184"/>
      <c r="K99" s="185"/>
      <c r="L99" s="186"/>
      <c r="M99" s="171"/>
      <c r="N99" s="164"/>
    </row>
    <row r="100" spans="2:20" ht="18.75" customHeight="1" thickTop="1" thickBot="1" x14ac:dyDescent="0.3">
      <c r="B100" s="2"/>
      <c r="C100" s="11"/>
      <c r="D100" s="47"/>
      <c r="E100" s="11"/>
      <c r="F100" s="11"/>
      <c r="G100" s="11"/>
      <c r="H100" s="84"/>
      <c r="I100" s="84"/>
      <c r="J100" s="84"/>
      <c r="K100" s="175"/>
      <c r="L100" s="175"/>
      <c r="M100" s="175"/>
      <c r="N100" s="84"/>
      <c r="S100" s="126" t="s">
        <v>380</v>
      </c>
      <c r="T100" s="126" t="s">
        <v>383</v>
      </c>
    </row>
    <row r="101" spans="2:20" ht="36" customHeight="1" thickTop="1" x14ac:dyDescent="0.25">
      <c r="B101" s="244" t="s">
        <v>441</v>
      </c>
      <c r="C101" s="248"/>
      <c r="D101" s="248"/>
      <c r="E101" s="248"/>
      <c r="F101" s="248"/>
      <c r="G101" s="248"/>
      <c r="H101" s="246"/>
      <c r="I101" s="246"/>
      <c r="J101" s="246"/>
      <c r="K101" s="246"/>
      <c r="L101" s="247"/>
      <c r="M101" s="170"/>
      <c r="N101" s="167"/>
      <c r="R101" s="65" t="s">
        <v>364</v>
      </c>
      <c r="S101" s="64">
        <f>IF($F$23&lt;=300,3600,IF($F$23&lt;=800,4800,IF($F$23&lt;=2000,6000,)))</f>
        <v>3600</v>
      </c>
      <c r="T101" s="131">
        <f>IF($F$11&lt;24,S101,IF($F$11&gt;24,S101+$R$23))</f>
        <v>3600</v>
      </c>
    </row>
    <row r="102" spans="2:20" ht="18.75" customHeight="1" thickBot="1" x14ac:dyDescent="0.3">
      <c r="B102" s="443" t="str">
        <f>IF($F$23&gt;2000,"NOT RECOMMENDED FOR THE GIVEN PRESSURE"," ")</f>
        <v xml:space="preserve"> </v>
      </c>
      <c r="C102" s="444"/>
      <c r="D102" s="444"/>
      <c r="E102" s="444"/>
      <c r="F102" s="444"/>
      <c r="G102" s="444"/>
      <c r="H102" s="444" t="str">
        <f>IF($F$7=$R$31,"THICKNESS APPLIES TO GYLON EPIX ONLY"," ")</f>
        <v xml:space="preserve"> </v>
      </c>
      <c r="I102" s="444"/>
      <c r="J102" s="444"/>
      <c r="K102" s="444"/>
      <c r="L102" s="449"/>
      <c r="M102" s="171"/>
      <c r="N102" s="164"/>
      <c r="R102" s="81"/>
      <c r="T102" s="128"/>
    </row>
    <row r="103" spans="2:20" ht="18.75" customHeight="1" thickBot="1" x14ac:dyDescent="0.35">
      <c r="B103" s="1"/>
      <c r="C103" s="2"/>
      <c r="D103" s="17" t="s">
        <v>319</v>
      </c>
      <c r="E103" s="2"/>
      <c r="F103" s="103" t="s">
        <v>379</v>
      </c>
      <c r="G103" s="14" t="s">
        <v>321</v>
      </c>
      <c r="H103" s="38"/>
      <c r="I103" s="445" t="s">
        <v>396</v>
      </c>
      <c r="J103" s="445"/>
      <c r="K103" s="445"/>
      <c r="L103" s="217"/>
      <c r="M103" s="173"/>
      <c r="N103" s="38"/>
      <c r="R103" s="81"/>
      <c r="T103" s="128"/>
    </row>
    <row r="104" spans="2:20" ht="18" customHeight="1" thickBot="1" x14ac:dyDescent="0.35">
      <c r="B104" s="50"/>
      <c r="C104" s="227"/>
      <c r="D104" s="14"/>
      <c r="E104" s="2"/>
      <c r="F104" s="57"/>
      <c r="G104" s="14"/>
      <c r="H104" s="227"/>
      <c r="I104" s="227"/>
      <c r="J104" s="46"/>
      <c r="K104" s="181"/>
      <c r="L104" s="180"/>
      <c r="M104" s="173"/>
      <c r="N104" s="46"/>
      <c r="R104" s="81"/>
      <c r="T104" s="128"/>
    </row>
    <row r="105" spans="2:20" ht="18.75" customHeight="1" thickBot="1" x14ac:dyDescent="0.3">
      <c r="B105" s="440" t="s">
        <v>389</v>
      </c>
      <c r="C105" s="187"/>
      <c r="D105" s="188" t="s">
        <v>390</v>
      </c>
      <c r="E105" s="189"/>
      <c r="F105" s="224">
        <f>T101</f>
        <v>3600</v>
      </c>
      <c r="G105" s="210" t="s">
        <v>19</v>
      </c>
      <c r="H105" s="220"/>
      <c r="I105" s="431" t="e">
        <f>IF(T109&lt;=0.75,$R$45,IF(T109&lt;=0.9,$R$46,IF(T109&lt;1,$R$47,IF(T109&gt;=1,$R$48))))</f>
        <v>#N/A</v>
      </c>
      <c r="J105" s="431"/>
      <c r="K105" s="431"/>
      <c r="L105" s="221"/>
      <c r="M105" s="173"/>
      <c r="N105" s="46"/>
    </row>
    <row r="106" spans="2:20" ht="3.75" customHeight="1" thickBot="1" x14ac:dyDescent="0.35">
      <c r="B106" s="440"/>
      <c r="C106" s="190"/>
      <c r="D106" s="191"/>
      <c r="E106" s="192"/>
      <c r="F106" s="193"/>
      <c r="G106" s="191"/>
      <c r="H106" s="190"/>
      <c r="I106" s="431"/>
      <c r="J106" s="431"/>
      <c r="K106" s="431"/>
      <c r="L106" s="221"/>
      <c r="M106" s="173"/>
      <c r="N106" s="39"/>
      <c r="R106" s="7">
        <f>IF($F$23&lt;301,2500,IF($F$23&lt;801,4800,IF($F$23&lt;2001,7400,IF($F$23&gt;2000,$R$11))))</f>
        <v>2500</v>
      </c>
      <c r="S106" s="7">
        <f>IF($F$23&lt;301,3600,IF($F$23&lt;801,5400,IF($F$23&lt;2001,8400,IF($F$23&gt;2000,$R$11))))</f>
        <v>3600</v>
      </c>
    </row>
    <row r="107" spans="2:20" ht="18.75" customHeight="1" thickBot="1" x14ac:dyDescent="0.35">
      <c r="B107" s="440"/>
      <c r="C107" s="190"/>
      <c r="D107" s="194" t="s">
        <v>391</v>
      </c>
      <c r="E107" s="195"/>
      <c r="F107" s="225" t="e">
        <f>(F105*$F$43/$F$41)</f>
        <v>#N/A</v>
      </c>
      <c r="G107" s="211" t="s">
        <v>16</v>
      </c>
      <c r="H107" s="190"/>
      <c r="I107" s="431"/>
      <c r="J107" s="431"/>
      <c r="K107" s="431"/>
      <c r="L107" s="221"/>
      <c r="M107" s="173"/>
      <c r="N107" s="39"/>
    </row>
    <row r="108" spans="2:20" ht="3.75" customHeight="1" thickBot="1" x14ac:dyDescent="0.35">
      <c r="B108" s="440"/>
      <c r="C108" s="196"/>
      <c r="D108" s="197"/>
      <c r="E108" s="192"/>
      <c r="F108" s="193"/>
      <c r="G108" s="212"/>
      <c r="H108" s="196"/>
      <c r="I108" s="431"/>
      <c r="J108" s="431"/>
      <c r="K108" s="431"/>
      <c r="L108" s="221"/>
      <c r="M108" s="173"/>
      <c r="N108" s="94"/>
    </row>
    <row r="109" spans="2:20" ht="18.75" customHeight="1" thickBot="1" x14ac:dyDescent="0.35">
      <c r="B109" s="440"/>
      <c r="C109" s="196"/>
      <c r="D109" s="197" t="s">
        <v>392</v>
      </c>
      <c r="E109" s="192"/>
      <c r="F109" s="225" t="e">
        <f>(F105*$F$33/$F$41)</f>
        <v>#N/A</v>
      </c>
      <c r="G109" s="213" t="s">
        <v>19</v>
      </c>
      <c r="H109" s="196"/>
      <c r="I109" s="431"/>
      <c r="J109" s="431"/>
      <c r="K109" s="431"/>
      <c r="L109" s="221"/>
      <c r="M109" s="173"/>
      <c r="N109" s="94"/>
      <c r="R109" s="206" t="s">
        <v>394</v>
      </c>
      <c r="S109" s="207"/>
      <c r="T109" s="208" t="e">
        <f>F109/$F$29</f>
        <v>#N/A</v>
      </c>
    </row>
    <row r="110" spans="2:20" ht="18" customHeight="1" thickBot="1" x14ac:dyDescent="0.3">
      <c r="B110" s="1"/>
      <c r="C110" s="11"/>
      <c r="D110" s="95"/>
      <c r="E110" s="94"/>
      <c r="F110" s="96"/>
      <c r="G110" s="97"/>
      <c r="H110" s="84"/>
      <c r="I110" s="84"/>
      <c r="J110" s="84"/>
      <c r="K110" s="181"/>
      <c r="L110" s="180"/>
      <c r="M110" s="173"/>
      <c r="N110" s="84"/>
    </row>
    <row r="111" spans="2:20" ht="18.75" customHeight="1" thickBot="1" x14ac:dyDescent="0.3">
      <c r="B111" s="440" t="s">
        <v>393</v>
      </c>
      <c r="C111" s="198"/>
      <c r="D111" s="199" t="s">
        <v>390</v>
      </c>
      <c r="E111" s="196"/>
      <c r="F111" s="226">
        <v>20000</v>
      </c>
      <c r="G111" s="214" t="s">
        <v>19</v>
      </c>
      <c r="H111" s="220"/>
      <c r="I111" s="431" t="e">
        <f>IF(T115&lt;=0.75,$R$45,IF(T115&lt;=0.9,$R$46,IF(T115&lt;1,$R$47,IF(T115&gt;=1,$R$48))))</f>
        <v>#N/A</v>
      </c>
      <c r="J111" s="431"/>
      <c r="K111" s="431"/>
      <c r="L111" s="221"/>
      <c r="M111" s="174"/>
      <c r="N111" s="84"/>
    </row>
    <row r="112" spans="2:20" ht="3.75" customHeight="1" thickBot="1" x14ac:dyDescent="0.3">
      <c r="B112" s="440"/>
      <c r="C112" s="198"/>
      <c r="D112" s="188"/>
      <c r="E112" s="201"/>
      <c r="F112" s="202"/>
      <c r="G112" s="215"/>
      <c r="H112" s="220"/>
      <c r="I112" s="431"/>
      <c r="J112" s="431"/>
      <c r="K112" s="431"/>
      <c r="L112" s="221"/>
      <c r="M112" s="174"/>
      <c r="N112" s="84"/>
    </row>
    <row r="113" spans="2:20" ht="18.75" customHeight="1" thickBot="1" x14ac:dyDescent="0.35">
      <c r="B113" s="440"/>
      <c r="C113" s="198"/>
      <c r="D113" s="188" t="s">
        <v>391</v>
      </c>
      <c r="E113" s="198"/>
      <c r="F113" s="225" t="e">
        <f>(F111*$F$43/$F$41)</f>
        <v>#N/A</v>
      </c>
      <c r="G113" s="210" t="s">
        <v>16</v>
      </c>
      <c r="H113" s="222"/>
      <c r="I113" s="431"/>
      <c r="J113" s="431"/>
      <c r="K113" s="431"/>
      <c r="L113" s="221"/>
      <c r="M113" s="174"/>
      <c r="N113" s="84"/>
    </row>
    <row r="114" spans="2:20" ht="3.75" customHeight="1" thickBot="1" x14ac:dyDescent="0.3">
      <c r="B114" s="440"/>
      <c r="C114" s="201"/>
      <c r="D114" s="203"/>
      <c r="E114" s="198"/>
      <c r="F114" s="204"/>
      <c r="G114" s="216"/>
      <c r="H114" s="223"/>
      <c r="I114" s="431"/>
      <c r="J114" s="431"/>
      <c r="K114" s="431"/>
      <c r="L114" s="221"/>
      <c r="M114" s="175"/>
      <c r="N114" s="84"/>
    </row>
    <row r="115" spans="2:20" ht="18" customHeight="1" thickBot="1" x14ac:dyDescent="0.35">
      <c r="B115" s="440"/>
      <c r="C115" s="205"/>
      <c r="D115" s="188" t="s">
        <v>392</v>
      </c>
      <c r="E115" s="198"/>
      <c r="F115" s="225" t="e">
        <f>(F111*$F$33/$F$41)</f>
        <v>#N/A</v>
      </c>
      <c r="G115" s="213" t="s">
        <v>19</v>
      </c>
      <c r="H115" s="223"/>
      <c r="I115" s="431"/>
      <c r="J115" s="431"/>
      <c r="K115" s="431"/>
      <c r="L115" s="221"/>
      <c r="M115" s="175"/>
      <c r="N115" s="84"/>
      <c r="R115" s="206" t="s">
        <v>395</v>
      </c>
      <c r="S115" s="209"/>
      <c r="T115" s="208" t="e">
        <f>F115/$F$29</f>
        <v>#N/A</v>
      </c>
    </row>
    <row r="116" spans="2:20" ht="3.75" customHeight="1" thickBot="1" x14ac:dyDescent="0.3">
      <c r="B116" s="59"/>
      <c r="C116" s="60"/>
      <c r="D116" s="61"/>
      <c r="E116" s="60"/>
      <c r="F116" s="62"/>
      <c r="G116" s="60"/>
      <c r="H116" s="184"/>
      <c r="I116" s="184"/>
      <c r="J116" s="184"/>
      <c r="K116" s="185"/>
      <c r="L116" s="186"/>
      <c r="M116" s="171"/>
      <c r="N116" s="164"/>
    </row>
    <row r="117" spans="2:20" ht="18" customHeight="1" thickTop="1" thickBot="1" x14ac:dyDescent="0.3">
      <c r="B117" s="160"/>
      <c r="C117" s="161"/>
      <c r="D117" s="162"/>
      <c r="E117" s="161"/>
      <c r="F117" s="163"/>
      <c r="G117" s="161"/>
      <c r="H117" s="164"/>
      <c r="I117" s="164"/>
      <c r="J117" s="164"/>
      <c r="K117" s="171"/>
      <c r="L117" s="171"/>
      <c r="M117" s="171"/>
      <c r="N117" s="164"/>
      <c r="S117" s="286" t="s">
        <v>381</v>
      </c>
      <c r="T117" s="142"/>
    </row>
    <row r="118" spans="2:20" ht="36" customHeight="1" thickTop="1" x14ac:dyDescent="0.25">
      <c r="B118" s="244" t="s">
        <v>404</v>
      </c>
      <c r="C118" s="248"/>
      <c r="D118" s="248"/>
      <c r="E118" s="248"/>
      <c r="F118" s="248"/>
      <c r="G118" s="248"/>
      <c r="H118" s="246"/>
      <c r="I118" s="246"/>
      <c r="J118" s="246"/>
      <c r="K118" s="246"/>
      <c r="L118" s="247"/>
      <c r="M118" s="177"/>
      <c r="N118" s="168"/>
      <c r="R118" s="165" t="s">
        <v>382</v>
      </c>
      <c r="S118" s="64">
        <f>IF($F$23&lt;=300,4000,IF($F$23&lt;=800,6000,IF($F$23&lt;=2000,10000,IF($F$23&gt;2000,15000))))</f>
        <v>4000</v>
      </c>
      <c r="T118" s="143"/>
    </row>
    <row r="119" spans="2:20" ht="18.75" customHeight="1" thickBot="1" x14ac:dyDescent="0.3">
      <c r="B119" s="50"/>
      <c r="C119" s="43"/>
      <c r="D119" s="43"/>
      <c r="E119" s="43"/>
      <c r="F119" s="43"/>
      <c r="G119" s="43"/>
      <c r="H119" s="444" t="str">
        <f>IF($F$7=$R$31,"THICKNESS APPLIES TO GYLON EPIX ONLY"," ")</f>
        <v xml:space="preserve"> </v>
      </c>
      <c r="I119" s="444"/>
      <c r="J119" s="444"/>
      <c r="K119" s="444"/>
      <c r="L119" s="449"/>
      <c r="M119" s="171"/>
      <c r="N119" s="164"/>
      <c r="R119" s="81"/>
      <c r="T119" s="128"/>
    </row>
    <row r="120" spans="2:20" ht="18.75" customHeight="1" thickBot="1" x14ac:dyDescent="0.35">
      <c r="B120" s="1"/>
      <c r="C120" s="2"/>
      <c r="D120" s="17" t="s">
        <v>319</v>
      </c>
      <c r="E120" s="2"/>
      <c r="F120" s="103" t="s">
        <v>323</v>
      </c>
      <c r="G120" s="14" t="s">
        <v>321</v>
      </c>
      <c r="H120" s="38"/>
      <c r="I120" s="445" t="s">
        <v>396</v>
      </c>
      <c r="J120" s="445"/>
      <c r="K120" s="445"/>
      <c r="L120" s="217"/>
      <c r="M120" s="172"/>
      <c r="N120" s="38"/>
      <c r="R120" s="81"/>
      <c r="T120" s="128"/>
    </row>
    <row r="121" spans="2:20" ht="18" customHeight="1" thickBot="1" x14ac:dyDescent="0.35">
      <c r="B121" s="50"/>
      <c r="C121" s="227"/>
      <c r="D121" s="14"/>
      <c r="E121" s="2"/>
      <c r="F121" s="57"/>
      <c r="G121" s="14"/>
      <c r="H121" s="227"/>
      <c r="I121" s="227"/>
      <c r="J121" s="46"/>
      <c r="K121" s="172"/>
      <c r="L121" s="217"/>
      <c r="M121" s="172"/>
      <c r="N121" s="46"/>
      <c r="R121" s="81"/>
      <c r="T121" s="128"/>
    </row>
    <row r="122" spans="2:20" ht="18.75" customHeight="1" thickBot="1" x14ac:dyDescent="0.3">
      <c r="B122" s="440" t="s">
        <v>389</v>
      </c>
      <c r="C122" s="187"/>
      <c r="D122" s="188" t="s">
        <v>390</v>
      </c>
      <c r="E122" s="189"/>
      <c r="F122" s="224">
        <f>S118</f>
        <v>4000</v>
      </c>
      <c r="G122" s="210" t="s">
        <v>19</v>
      </c>
      <c r="H122" s="220"/>
      <c r="I122" s="431" t="e">
        <f>IF(T126&lt;=0.75,$R$45,IF(T126&lt;=0.9,$R$46,IF(T126&lt;1,$R$47,IF(T126&gt;=1,$R$48))))</f>
        <v>#N/A</v>
      </c>
      <c r="J122" s="431"/>
      <c r="K122" s="431"/>
      <c r="L122" s="221"/>
      <c r="M122" s="173"/>
      <c r="N122" s="46"/>
    </row>
    <row r="123" spans="2:20" ht="3.75" customHeight="1" thickBot="1" x14ac:dyDescent="0.35">
      <c r="B123" s="440"/>
      <c r="C123" s="190"/>
      <c r="D123" s="191"/>
      <c r="E123" s="192"/>
      <c r="F123" s="193"/>
      <c r="G123" s="191"/>
      <c r="H123" s="190"/>
      <c r="I123" s="431"/>
      <c r="J123" s="431"/>
      <c r="K123" s="431"/>
      <c r="L123" s="221"/>
      <c r="M123" s="173"/>
      <c r="N123" s="39"/>
      <c r="R123" s="7">
        <f>IF($F$23&lt;301,2500,IF($F$23&lt;801,4800,IF($F$23&lt;2001,7400,IF($F$23&gt;2000,$R$11))))</f>
        <v>2500</v>
      </c>
      <c r="S123" s="7">
        <f>IF($F$23&lt;301,3600,IF($F$23&lt;801,5400,IF($F$23&lt;2001,8400,IF($F$23&gt;2000,$R$11))))</f>
        <v>3600</v>
      </c>
    </row>
    <row r="124" spans="2:20" ht="18.75" customHeight="1" thickBot="1" x14ac:dyDescent="0.35">
      <c r="B124" s="440"/>
      <c r="C124" s="190"/>
      <c r="D124" s="194" t="s">
        <v>391</v>
      </c>
      <c r="E124" s="195"/>
      <c r="F124" s="225" t="e">
        <f>(F122*$F$43/$F$41)</f>
        <v>#N/A</v>
      </c>
      <c r="G124" s="211" t="s">
        <v>16</v>
      </c>
      <c r="H124" s="190"/>
      <c r="I124" s="431"/>
      <c r="J124" s="431"/>
      <c r="K124" s="431"/>
      <c r="L124" s="221"/>
      <c r="M124" s="173"/>
      <c r="N124" s="39"/>
    </row>
    <row r="125" spans="2:20" ht="3.75" customHeight="1" thickBot="1" x14ac:dyDescent="0.35">
      <c r="B125" s="440"/>
      <c r="C125" s="196"/>
      <c r="D125" s="197"/>
      <c r="E125" s="192"/>
      <c r="F125" s="193"/>
      <c r="G125" s="212"/>
      <c r="H125" s="196"/>
      <c r="I125" s="431"/>
      <c r="J125" s="431"/>
      <c r="K125" s="431"/>
      <c r="L125" s="221"/>
      <c r="M125" s="173"/>
      <c r="N125" s="94"/>
    </row>
    <row r="126" spans="2:20" ht="18.75" customHeight="1" thickBot="1" x14ac:dyDescent="0.35">
      <c r="B126" s="440"/>
      <c r="C126" s="196"/>
      <c r="D126" s="197" t="s">
        <v>392</v>
      </c>
      <c r="E126" s="192"/>
      <c r="F126" s="225" t="e">
        <f>(F122*$F$33/$F$41)</f>
        <v>#N/A</v>
      </c>
      <c r="G126" s="213" t="s">
        <v>19</v>
      </c>
      <c r="H126" s="196"/>
      <c r="I126" s="431"/>
      <c r="J126" s="431"/>
      <c r="K126" s="431"/>
      <c r="L126" s="221"/>
      <c r="M126" s="173"/>
      <c r="N126" s="94"/>
      <c r="R126" s="206" t="s">
        <v>394</v>
      </c>
      <c r="S126" s="207"/>
      <c r="T126" s="208" t="e">
        <f>F126/$F$29</f>
        <v>#N/A</v>
      </c>
    </row>
    <row r="127" spans="2:20" ht="18" customHeight="1" thickBot="1" x14ac:dyDescent="0.3">
      <c r="B127" s="1"/>
      <c r="C127" s="11"/>
      <c r="D127" s="95"/>
      <c r="E127" s="94"/>
      <c r="F127" s="96"/>
      <c r="G127" s="97"/>
      <c r="H127" s="84"/>
      <c r="I127" s="84"/>
      <c r="J127" s="84"/>
      <c r="K127" s="181"/>
      <c r="L127" s="180"/>
      <c r="M127" s="173"/>
      <c r="N127" s="84"/>
    </row>
    <row r="128" spans="2:20" ht="18.75" customHeight="1" thickBot="1" x14ac:dyDescent="0.3">
      <c r="B128" s="440" t="s">
        <v>393</v>
      </c>
      <c r="C128" s="198"/>
      <c r="D128" s="199" t="s">
        <v>390</v>
      </c>
      <c r="E128" s="196"/>
      <c r="F128" s="226">
        <v>40000</v>
      </c>
      <c r="G128" s="214" t="s">
        <v>19</v>
      </c>
      <c r="H128" s="220"/>
      <c r="I128" s="431" t="e">
        <f>IF(T132&lt;=0.75,$R$45,IF(T132&lt;=0.9,$R$46,IF(T132&lt;1,$R$47,IF(T132&gt;=1,$R$48))))</f>
        <v>#N/A</v>
      </c>
      <c r="J128" s="431"/>
      <c r="K128" s="431"/>
      <c r="L128" s="221"/>
      <c r="M128" s="174"/>
      <c r="N128" s="84"/>
    </row>
    <row r="129" spans="2:20" ht="3.75" customHeight="1" thickBot="1" x14ac:dyDescent="0.3">
      <c r="B129" s="440"/>
      <c r="C129" s="198"/>
      <c r="D129" s="188"/>
      <c r="E129" s="201"/>
      <c r="F129" s="202"/>
      <c r="G129" s="215"/>
      <c r="H129" s="220"/>
      <c r="I129" s="431"/>
      <c r="J129" s="431"/>
      <c r="K129" s="431"/>
      <c r="L129" s="221"/>
      <c r="M129" s="174"/>
      <c r="N129" s="84"/>
    </row>
    <row r="130" spans="2:20" ht="18.75" customHeight="1" thickBot="1" x14ac:dyDescent="0.35">
      <c r="B130" s="440"/>
      <c r="C130" s="198"/>
      <c r="D130" s="188" t="s">
        <v>391</v>
      </c>
      <c r="E130" s="198"/>
      <c r="F130" s="225" t="e">
        <f>(F128*$F$43/$F$41)</f>
        <v>#N/A</v>
      </c>
      <c r="G130" s="210" t="s">
        <v>16</v>
      </c>
      <c r="H130" s="222"/>
      <c r="I130" s="431"/>
      <c r="J130" s="431"/>
      <c r="K130" s="431"/>
      <c r="L130" s="221"/>
      <c r="M130" s="174"/>
      <c r="N130" s="84"/>
    </row>
    <row r="131" spans="2:20" ht="3.75" customHeight="1" thickBot="1" x14ac:dyDescent="0.3">
      <c r="B131" s="440"/>
      <c r="C131" s="201"/>
      <c r="D131" s="203"/>
      <c r="E131" s="198"/>
      <c r="F131" s="204"/>
      <c r="G131" s="216"/>
      <c r="H131" s="223"/>
      <c r="I131" s="431"/>
      <c r="J131" s="431"/>
      <c r="K131" s="431"/>
      <c r="L131" s="221"/>
      <c r="M131" s="175"/>
      <c r="N131" s="84"/>
    </row>
    <row r="132" spans="2:20" ht="18" customHeight="1" thickBot="1" x14ac:dyDescent="0.35">
      <c r="B132" s="440"/>
      <c r="C132" s="205"/>
      <c r="D132" s="188" t="s">
        <v>392</v>
      </c>
      <c r="E132" s="198"/>
      <c r="F132" s="225" t="e">
        <f>(F128*$F$33/$F$41)</f>
        <v>#N/A</v>
      </c>
      <c r="G132" s="213" t="s">
        <v>19</v>
      </c>
      <c r="H132" s="223"/>
      <c r="I132" s="431"/>
      <c r="J132" s="431"/>
      <c r="K132" s="431"/>
      <c r="L132" s="221"/>
      <c r="M132" s="175"/>
      <c r="N132" s="84"/>
      <c r="R132" s="206" t="s">
        <v>395</v>
      </c>
      <c r="S132" s="207"/>
      <c r="T132" s="208" t="e">
        <f>F132/$F$29</f>
        <v>#N/A</v>
      </c>
    </row>
    <row r="133" spans="2:20" ht="3.75" customHeight="1" thickBot="1" x14ac:dyDescent="0.3">
      <c r="B133" s="59"/>
      <c r="C133" s="60"/>
      <c r="D133" s="61"/>
      <c r="E133" s="60"/>
      <c r="F133" s="62"/>
      <c r="G133" s="60"/>
      <c r="H133" s="184"/>
      <c r="I133" s="184"/>
      <c r="J133" s="184"/>
      <c r="K133" s="185"/>
      <c r="L133" s="186"/>
      <c r="M133" s="171"/>
      <c r="N133" s="164"/>
    </row>
    <row r="134" spans="2:20" ht="18" customHeight="1" thickTop="1" thickBot="1" x14ac:dyDescent="0.3">
      <c r="B134" s="38"/>
      <c r="C134" s="43"/>
      <c r="D134" s="20"/>
      <c r="E134" s="43"/>
      <c r="F134" s="80"/>
      <c r="G134" s="43"/>
      <c r="H134" s="164"/>
      <c r="I134" s="164"/>
      <c r="J134" s="164"/>
      <c r="K134" s="171"/>
      <c r="L134" s="171"/>
      <c r="M134" s="171"/>
      <c r="N134" s="164"/>
    </row>
    <row r="135" spans="2:20" ht="36" customHeight="1" thickTop="1" x14ac:dyDescent="0.25">
      <c r="B135" s="244" t="s">
        <v>405</v>
      </c>
      <c r="C135" s="248"/>
      <c r="D135" s="248"/>
      <c r="E135" s="248"/>
      <c r="F135" s="248"/>
      <c r="G135" s="248"/>
      <c r="H135" s="246"/>
      <c r="I135" s="246"/>
      <c r="J135" s="246"/>
      <c r="K135" s="246"/>
      <c r="L135" s="247"/>
      <c r="M135" s="177"/>
      <c r="N135" s="168"/>
      <c r="R135" s="81"/>
      <c r="S135" s="2"/>
      <c r="T135" s="143"/>
    </row>
    <row r="136" spans="2:20" ht="18.75" customHeight="1" thickBot="1" x14ac:dyDescent="0.3">
      <c r="B136" s="50"/>
      <c r="C136" s="43"/>
      <c r="D136" s="43"/>
      <c r="E136" s="43"/>
      <c r="F136" s="43"/>
      <c r="G136" s="43"/>
      <c r="H136" s="444" t="str">
        <f>IF($F$7=$R$31,"THICKNESS APPLIES TO GYLON EPIX ONLY"," ")</f>
        <v xml:space="preserve"> </v>
      </c>
      <c r="I136" s="444"/>
      <c r="J136" s="444"/>
      <c r="K136" s="444"/>
      <c r="L136" s="449"/>
      <c r="M136" s="171"/>
      <c r="N136" s="164"/>
      <c r="R136" s="81"/>
      <c r="S136" s="2"/>
      <c r="T136" s="143"/>
    </row>
    <row r="137" spans="2:20" ht="18.75" customHeight="1" thickBot="1" x14ac:dyDescent="0.35">
      <c r="B137" s="1"/>
      <c r="C137" s="2"/>
      <c r="D137" s="17" t="s">
        <v>319</v>
      </c>
      <c r="E137" s="2"/>
      <c r="F137" s="103" t="s">
        <v>323</v>
      </c>
      <c r="G137" s="14" t="s">
        <v>321</v>
      </c>
      <c r="H137" s="38"/>
      <c r="I137" s="445" t="s">
        <v>396</v>
      </c>
      <c r="J137" s="445"/>
      <c r="K137" s="445"/>
      <c r="L137" s="217"/>
      <c r="M137" s="172"/>
      <c r="N137" s="38"/>
      <c r="R137" s="81"/>
      <c r="S137" s="2"/>
      <c r="T137" s="143"/>
    </row>
    <row r="138" spans="2:20" ht="18" customHeight="1" thickBot="1" x14ac:dyDescent="0.35">
      <c r="B138" s="50"/>
      <c r="C138" s="227"/>
      <c r="D138" s="14"/>
      <c r="E138" s="2"/>
      <c r="F138" s="57"/>
      <c r="G138" s="14"/>
      <c r="H138" s="227"/>
      <c r="I138" s="227"/>
      <c r="J138" s="46"/>
      <c r="K138" s="172"/>
      <c r="L138" s="217"/>
      <c r="M138" s="172"/>
      <c r="N138" s="46"/>
      <c r="R138" s="81"/>
      <c r="S138" s="2"/>
      <c r="T138" s="143"/>
    </row>
    <row r="139" spans="2:20" ht="18.75" customHeight="1" thickBot="1" x14ac:dyDescent="0.3">
      <c r="B139" s="440" t="s">
        <v>389</v>
      </c>
      <c r="C139" s="187"/>
      <c r="D139" s="188" t="s">
        <v>390</v>
      </c>
      <c r="E139" s="189"/>
      <c r="F139" s="224">
        <v>10000</v>
      </c>
      <c r="G139" s="210" t="s">
        <v>19</v>
      </c>
      <c r="H139" s="220"/>
      <c r="I139" s="431" t="e">
        <f>IF(T143&lt;=0.75,$R$45,IF(T143&lt;=0.9,$R$46,IF(T143&lt;1,$R$47,IF(T143&gt;=1,$R$48))))</f>
        <v>#N/A</v>
      </c>
      <c r="J139" s="431"/>
      <c r="K139" s="431"/>
      <c r="L139" s="221"/>
      <c r="M139" s="173"/>
      <c r="N139" s="46"/>
    </row>
    <row r="140" spans="2:20" ht="3.75" customHeight="1" thickBot="1" x14ac:dyDescent="0.35">
      <c r="B140" s="440"/>
      <c r="C140" s="190"/>
      <c r="D140" s="191"/>
      <c r="E140" s="192"/>
      <c r="F140" s="193"/>
      <c r="G140" s="191"/>
      <c r="H140" s="190"/>
      <c r="I140" s="431"/>
      <c r="J140" s="431"/>
      <c r="K140" s="431"/>
      <c r="L140" s="221"/>
      <c r="M140" s="173"/>
      <c r="N140" s="39"/>
      <c r="R140" s="7">
        <f>IF($F$23&lt;301,2500,IF($F$23&lt;801,4800,IF($F$23&lt;2001,7400,IF($F$23&gt;2000,$R$11))))</f>
        <v>2500</v>
      </c>
      <c r="S140" s="7">
        <f>IF($F$23&lt;301,3600,IF($F$23&lt;801,5400,IF($F$23&lt;2001,8400,IF($F$23&gt;2000,$R$11))))</f>
        <v>3600</v>
      </c>
    </row>
    <row r="141" spans="2:20" ht="18.75" customHeight="1" thickBot="1" x14ac:dyDescent="0.35">
      <c r="B141" s="440"/>
      <c r="C141" s="190"/>
      <c r="D141" s="194" t="s">
        <v>391</v>
      </c>
      <c r="E141" s="195"/>
      <c r="F141" s="225" t="e">
        <f>(F139*$F$43/$F$41)</f>
        <v>#N/A</v>
      </c>
      <c r="G141" s="211" t="s">
        <v>16</v>
      </c>
      <c r="H141" s="190"/>
      <c r="I141" s="431"/>
      <c r="J141" s="431"/>
      <c r="K141" s="431"/>
      <c r="L141" s="221"/>
      <c r="M141" s="173"/>
      <c r="N141" s="39"/>
    </row>
    <row r="142" spans="2:20" ht="3.75" customHeight="1" thickBot="1" x14ac:dyDescent="0.35">
      <c r="B142" s="440"/>
      <c r="C142" s="196"/>
      <c r="D142" s="197"/>
      <c r="E142" s="192"/>
      <c r="F142" s="193"/>
      <c r="G142" s="212"/>
      <c r="H142" s="196"/>
      <c r="I142" s="431"/>
      <c r="J142" s="431"/>
      <c r="K142" s="431"/>
      <c r="L142" s="221"/>
      <c r="M142" s="173"/>
      <c r="N142" s="94"/>
    </row>
    <row r="143" spans="2:20" ht="18.75" customHeight="1" thickBot="1" x14ac:dyDescent="0.35">
      <c r="B143" s="440"/>
      <c r="C143" s="196"/>
      <c r="D143" s="197" t="s">
        <v>392</v>
      </c>
      <c r="E143" s="192"/>
      <c r="F143" s="225" t="e">
        <f>(F139*$F$33/$F$41)</f>
        <v>#N/A</v>
      </c>
      <c r="G143" s="213" t="s">
        <v>19</v>
      </c>
      <c r="H143" s="196"/>
      <c r="I143" s="431"/>
      <c r="J143" s="431"/>
      <c r="K143" s="431"/>
      <c r="L143" s="221"/>
      <c r="M143" s="173"/>
      <c r="N143" s="94"/>
      <c r="R143" s="206" t="s">
        <v>394</v>
      </c>
      <c r="S143" s="207"/>
      <c r="T143" s="208" t="e">
        <f>F143/$F$29</f>
        <v>#N/A</v>
      </c>
    </row>
    <row r="144" spans="2:20" ht="18" customHeight="1" thickBot="1" x14ac:dyDescent="0.3">
      <c r="B144" s="1"/>
      <c r="C144" s="11"/>
      <c r="D144" s="95"/>
      <c r="E144" s="94"/>
      <c r="F144" s="96"/>
      <c r="G144" s="97"/>
      <c r="H144" s="84"/>
      <c r="I144" s="84"/>
      <c r="J144" s="84"/>
      <c r="K144" s="181"/>
      <c r="L144" s="180"/>
      <c r="M144" s="173"/>
      <c r="N144" s="84"/>
    </row>
    <row r="145" spans="2:40" ht="18.75" customHeight="1" thickBot="1" x14ac:dyDescent="0.3">
      <c r="B145" s="440" t="s">
        <v>393</v>
      </c>
      <c r="C145" s="198"/>
      <c r="D145" s="199" t="s">
        <v>390</v>
      </c>
      <c r="E145" s="196"/>
      <c r="F145" s="226">
        <v>30000</v>
      </c>
      <c r="G145" s="214" t="s">
        <v>19</v>
      </c>
      <c r="H145" s="220"/>
      <c r="I145" s="431" t="e">
        <f>IF(T149&lt;=0.75,$R$45,IF(T149&lt;=0.9,$R$46,IF(T149&lt;1,$R$47,IF(T149&gt;=1,$R$48))))</f>
        <v>#N/A</v>
      </c>
      <c r="J145" s="431"/>
      <c r="K145" s="431"/>
      <c r="L145" s="221"/>
      <c r="M145" s="174"/>
      <c r="N145" s="84"/>
    </row>
    <row r="146" spans="2:40" ht="3.75" customHeight="1" thickBot="1" x14ac:dyDescent="0.3">
      <c r="B146" s="440"/>
      <c r="C146" s="198"/>
      <c r="D146" s="188"/>
      <c r="E146" s="201"/>
      <c r="F146" s="202"/>
      <c r="G146" s="215"/>
      <c r="H146" s="220"/>
      <c r="I146" s="431"/>
      <c r="J146" s="431"/>
      <c r="K146" s="431"/>
      <c r="L146" s="221"/>
      <c r="M146" s="174"/>
      <c r="N146" s="84"/>
    </row>
    <row r="147" spans="2:40" ht="18.75" customHeight="1" thickBot="1" x14ac:dyDescent="0.35">
      <c r="B147" s="440"/>
      <c r="C147" s="198"/>
      <c r="D147" s="188" t="s">
        <v>391</v>
      </c>
      <c r="E147" s="198"/>
      <c r="F147" s="225" t="e">
        <f>(F145*$F$43/$F$41)</f>
        <v>#N/A</v>
      </c>
      <c r="G147" s="210" t="s">
        <v>16</v>
      </c>
      <c r="H147" s="222"/>
      <c r="I147" s="431"/>
      <c r="J147" s="431"/>
      <c r="K147" s="431"/>
      <c r="L147" s="221"/>
      <c r="M147" s="174"/>
      <c r="N147" s="84"/>
    </row>
    <row r="148" spans="2:40" ht="3.75" customHeight="1" thickBot="1" x14ac:dyDescent="0.3">
      <c r="B148" s="440"/>
      <c r="C148" s="201"/>
      <c r="D148" s="203"/>
      <c r="E148" s="198"/>
      <c r="F148" s="204"/>
      <c r="G148" s="216"/>
      <c r="H148" s="223"/>
      <c r="I148" s="431"/>
      <c r="J148" s="431"/>
      <c r="K148" s="431"/>
      <c r="L148" s="221"/>
      <c r="M148" s="175"/>
      <c r="N148" s="84"/>
    </row>
    <row r="149" spans="2:40" ht="18" customHeight="1" thickBot="1" x14ac:dyDescent="0.35">
      <c r="B149" s="440"/>
      <c r="C149" s="205"/>
      <c r="D149" s="188" t="s">
        <v>392</v>
      </c>
      <c r="E149" s="198"/>
      <c r="F149" s="225" t="e">
        <f>(F145*$F$33/$F$41)</f>
        <v>#N/A</v>
      </c>
      <c r="G149" s="213" t="s">
        <v>19</v>
      </c>
      <c r="H149" s="223"/>
      <c r="I149" s="431"/>
      <c r="J149" s="431"/>
      <c r="K149" s="431"/>
      <c r="L149" s="221"/>
      <c r="M149" s="175"/>
      <c r="N149" s="84"/>
      <c r="R149" s="206" t="s">
        <v>395</v>
      </c>
      <c r="S149" s="207"/>
      <c r="T149" s="208" t="e">
        <f>F149/$F$29</f>
        <v>#N/A</v>
      </c>
    </row>
    <row r="150" spans="2:40" ht="3.75" customHeight="1" thickBot="1" x14ac:dyDescent="0.3">
      <c r="B150" s="59"/>
      <c r="C150" s="60"/>
      <c r="D150" s="61"/>
      <c r="E150" s="60"/>
      <c r="F150" s="62"/>
      <c r="G150" s="60"/>
      <c r="H150" s="184"/>
      <c r="I150" s="184"/>
      <c r="J150" s="184"/>
      <c r="K150" s="185"/>
      <c r="L150" s="186"/>
      <c r="M150" s="171"/>
      <c r="N150" s="164"/>
    </row>
    <row r="151" spans="2:40" ht="18.75" customHeight="1" thickTop="1" thickBot="1" x14ac:dyDescent="0.3">
      <c r="D151" s="49"/>
      <c r="E151" s="236"/>
      <c r="H151" s="84"/>
      <c r="I151" s="236"/>
      <c r="J151" s="236"/>
      <c r="K151" s="178"/>
      <c r="L151" s="178"/>
      <c r="M151" s="178"/>
      <c r="N151" s="236"/>
      <c r="S151" s="126" t="s">
        <v>383</v>
      </c>
      <c r="T151" s="126" t="s">
        <v>385</v>
      </c>
    </row>
    <row r="152" spans="2:40" ht="36" customHeight="1" thickTop="1" x14ac:dyDescent="0.25">
      <c r="B152" s="441" t="s">
        <v>406</v>
      </c>
      <c r="C152" s="442"/>
      <c r="D152" s="442"/>
      <c r="E152" s="442"/>
      <c r="F152" s="442"/>
      <c r="G152" s="442"/>
      <c r="H152" s="446" t="s">
        <v>401</v>
      </c>
      <c r="I152" s="446"/>
      <c r="J152" s="446"/>
      <c r="K152" s="446"/>
      <c r="L152" s="447"/>
      <c r="M152" s="170"/>
      <c r="N152" s="167"/>
      <c r="R152" s="165" t="s">
        <v>384</v>
      </c>
      <c r="S152" s="131">
        <f>IF($F$11&lt;24,600,IF($F$11&gt;24,600+$R$23))</f>
        <v>600</v>
      </c>
      <c r="T152" s="131">
        <f>IF(S152&lt;900,S152,900)</f>
        <v>600</v>
      </c>
    </row>
    <row r="153" spans="2:40" s="71" customFormat="1" ht="18.75" customHeight="1" thickBot="1" x14ac:dyDescent="0.35">
      <c r="B153" s="443" t="str">
        <f>IF($F$23&lt;=150," ",IF($F$23&lt;=250,"PRESSURE IS ABOVE 150 PSIG - CONTACT APPLICATIONS ENGINEERING",IF($F$23&gt;250,"NOT RECOMMENDED FOR THE GIVEN PRESSURE")))</f>
        <v xml:space="preserve"> </v>
      </c>
      <c r="C153" s="444"/>
      <c r="D153" s="444"/>
      <c r="E153" s="444"/>
      <c r="F153" s="444"/>
      <c r="G153" s="444"/>
      <c r="H153" s="444" t="str">
        <f>IF($F$7=$R$31,"THICKNESS APPLIES TO GYLON EPIX ONLY"," ")</f>
        <v xml:space="preserve"> </v>
      </c>
      <c r="I153" s="444"/>
      <c r="J153" s="444"/>
      <c r="K153" s="444"/>
      <c r="L153" s="449"/>
      <c r="M153" s="174"/>
      <c r="N153" s="169"/>
      <c r="R153" s="81"/>
      <c r="S153" s="2"/>
      <c r="T153" s="143"/>
      <c r="AN153" s="72"/>
    </row>
    <row r="154" spans="2:40" ht="18.75" customHeight="1" thickBot="1" x14ac:dyDescent="0.3">
      <c r="B154" s="58"/>
      <c r="C154" s="42"/>
      <c r="D154" s="15" t="s">
        <v>324</v>
      </c>
      <c r="E154" s="42"/>
      <c r="F154" s="110">
        <f>($F$23)</f>
        <v>0</v>
      </c>
      <c r="G154" s="13" t="s">
        <v>290</v>
      </c>
      <c r="H154" s="84"/>
      <c r="I154" s="84"/>
      <c r="J154" s="84"/>
      <c r="K154" s="182"/>
      <c r="L154" s="183"/>
      <c r="M154" s="174"/>
      <c r="N154" s="236"/>
      <c r="R154" s="81"/>
      <c r="S154" s="2"/>
      <c r="T154" s="143"/>
      <c r="V154" s="7" t="s">
        <v>325</v>
      </c>
    </row>
    <row r="155" spans="2:40" ht="3.75" customHeight="1" thickBot="1" x14ac:dyDescent="0.3">
      <c r="B155" s="50"/>
      <c r="C155" s="43"/>
      <c r="D155" s="43"/>
      <c r="E155" s="43"/>
      <c r="F155" s="43"/>
      <c r="G155" s="43"/>
      <c r="H155" s="164"/>
      <c r="I155" s="164"/>
      <c r="J155" s="164"/>
      <c r="K155" s="171"/>
      <c r="L155" s="179"/>
      <c r="M155" s="171"/>
      <c r="N155" s="164"/>
      <c r="R155" s="81"/>
      <c r="S155" s="2"/>
      <c r="T155" s="143"/>
    </row>
    <row r="156" spans="2:40" ht="18.75" customHeight="1" thickBot="1" x14ac:dyDescent="0.35">
      <c r="B156" s="1"/>
      <c r="C156" s="2"/>
      <c r="D156" s="17" t="s">
        <v>319</v>
      </c>
      <c r="E156" s="2"/>
      <c r="F156" s="228">
        <f>(F7)</f>
        <v>0</v>
      </c>
      <c r="G156" s="14" t="s">
        <v>321</v>
      </c>
      <c r="H156" s="38"/>
      <c r="I156" s="445" t="s">
        <v>396</v>
      </c>
      <c r="J156" s="445"/>
      <c r="K156" s="445"/>
      <c r="L156" s="217"/>
      <c r="M156" s="173"/>
      <c r="N156" s="38"/>
    </row>
    <row r="157" spans="2:40" ht="18" customHeight="1" thickBot="1" x14ac:dyDescent="0.35">
      <c r="B157" s="50"/>
      <c r="C157" s="227"/>
      <c r="D157" s="14"/>
      <c r="E157" s="2"/>
      <c r="F157" s="57"/>
      <c r="G157" s="14"/>
      <c r="H157" s="227"/>
      <c r="I157" s="227"/>
      <c r="J157" s="46"/>
      <c r="K157" s="181"/>
      <c r="L157" s="180"/>
      <c r="M157" s="173"/>
      <c r="N157" s="46"/>
    </row>
    <row r="158" spans="2:40" ht="18.75" customHeight="1" thickBot="1" x14ac:dyDescent="0.3">
      <c r="B158" s="440" t="s">
        <v>389</v>
      </c>
      <c r="C158" s="187"/>
      <c r="D158" s="188" t="s">
        <v>390</v>
      </c>
      <c r="E158" s="189"/>
      <c r="F158" s="224">
        <f>T152</f>
        <v>600</v>
      </c>
      <c r="G158" s="210" t="s">
        <v>19</v>
      </c>
      <c r="H158" s="220"/>
      <c r="I158" s="431" t="e">
        <f>IF(T162&lt;=0.75,$R$45,IF(T162&lt;=0.9,$R$46,IF(T162&lt;1,$R$47,IF(T162&gt;=1,$R$48))))</f>
        <v>#N/A</v>
      </c>
      <c r="J158" s="431"/>
      <c r="K158" s="431"/>
      <c r="L158" s="221"/>
      <c r="M158" s="173"/>
      <c r="N158" s="46"/>
    </row>
    <row r="159" spans="2:40" ht="3.75" customHeight="1" thickBot="1" x14ac:dyDescent="0.35">
      <c r="B159" s="440"/>
      <c r="C159" s="190"/>
      <c r="D159" s="191"/>
      <c r="E159" s="192"/>
      <c r="F159" s="193"/>
      <c r="G159" s="191"/>
      <c r="H159" s="190"/>
      <c r="I159" s="431"/>
      <c r="J159" s="431"/>
      <c r="K159" s="431"/>
      <c r="L159" s="221"/>
      <c r="M159" s="173"/>
      <c r="N159" s="39"/>
      <c r="R159" s="7">
        <f>IF($F$23&lt;301,2500,IF($F$23&lt;801,4800,IF($F$23&lt;2001,7400,IF($F$23&gt;2000,$R$11))))</f>
        <v>2500</v>
      </c>
      <c r="S159" s="7">
        <f>IF($F$23&lt;301,3600,IF($F$23&lt;801,5400,IF($F$23&lt;2001,8400,IF($F$23&gt;2000,$R$11))))</f>
        <v>3600</v>
      </c>
    </row>
    <row r="160" spans="2:40" ht="18.75" customHeight="1" thickBot="1" x14ac:dyDescent="0.35">
      <c r="B160" s="440"/>
      <c r="C160" s="190"/>
      <c r="D160" s="194" t="s">
        <v>391</v>
      </c>
      <c r="E160" s="195"/>
      <c r="F160" s="225" t="e">
        <f>(F158*$F$43/$F$41)</f>
        <v>#N/A</v>
      </c>
      <c r="G160" s="211" t="s">
        <v>16</v>
      </c>
      <c r="H160" s="190"/>
      <c r="I160" s="431"/>
      <c r="J160" s="431"/>
      <c r="K160" s="431"/>
      <c r="L160" s="221"/>
      <c r="M160" s="173"/>
      <c r="N160" s="39"/>
    </row>
    <row r="161" spans="2:20" ht="3.75" customHeight="1" thickBot="1" x14ac:dyDescent="0.35">
      <c r="B161" s="440"/>
      <c r="C161" s="196"/>
      <c r="D161" s="197"/>
      <c r="E161" s="192"/>
      <c r="F161" s="193"/>
      <c r="G161" s="212"/>
      <c r="H161" s="196"/>
      <c r="I161" s="431"/>
      <c r="J161" s="431"/>
      <c r="K161" s="431"/>
      <c r="L161" s="221"/>
      <c r="M161" s="173"/>
      <c r="N161" s="94"/>
    </row>
    <row r="162" spans="2:20" ht="18.75" customHeight="1" thickBot="1" x14ac:dyDescent="0.35">
      <c r="B162" s="440"/>
      <c r="C162" s="196"/>
      <c r="D162" s="197" t="s">
        <v>392</v>
      </c>
      <c r="E162" s="192"/>
      <c r="F162" s="225" t="e">
        <f>(F158*$F$33/$F$41)</f>
        <v>#N/A</v>
      </c>
      <c r="G162" s="213" t="s">
        <v>19</v>
      </c>
      <c r="H162" s="196"/>
      <c r="I162" s="431"/>
      <c r="J162" s="431"/>
      <c r="K162" s="431"/>
      <c r="L162" s="221"/>
      <c r="M162" s="173"/>
      <c r="N162" s="94"/>
      <c r="R162" s="206" t="s">
        <v>394</v>
      </c>
      <c r="S162" s="207"/>
      <c r="T162" s="208" t="e">
        <f>F162/$F$29</f>
        <v>#N/A</v>
      </c>
    </row>
    <row r="163" spans="2:20" ht="18" customHeight="1" thickBot="1" x14ac:dyDescent="0.3">
      <c r="B163" s="1"/>
      <c r="C163" s="11"/>
      <c r="D163" s="95"/>
      <c r="E163" s="94"/>
      <c r="F163" s="96"/>
      <c r="G163" s="97"/>
      <c r="H163" s="84"/>
      <c r="I163" s="84"/>
      <c r="J163" s="84"/>
      <c r="K163" s="181"/>
      <c r="L163" s="180"/>
      <c r="M163" s="173"/>
      <c r="N163" s="84"/>
    </row>
    <row r="164" spans="2:20" ht="18.75" customHeight="1" thickBot="1" x14ac:dyDescent="0.3">
      <c r="B164" s="440" t="s">
        <v>393</v>
      </c>
      <c r="C164" s="198"/>
      <c r="D164" s="199" t="s">
        <v>390</v>
      </c>
      <c r="E164" s="196"/>
      <c r="F164" s="226">
        <v>900</v>
      </c>
      <c r="G164" s="214" t="s">
        <v>19</v>
      </c>
      <c r="H164" s="220"/>
      <c r="I164" s="431" t="e">
        <f>IF(T168&lt;=0.75,$R$45,IF(T168&lt;=0.9,$R$46,IF(T168&lt;1,$R$47,IF(T168&gt;=1,$R$48))))</f>
        <v>#N/A</v>
      </c>
      <c r="J164" s="431"/>
      <c r="K164" s="431"/>
      <c r="L164" s="221"/>
      <c r="M164" s="174"/>
      <c r="N164" s="84"/>
    </row>
    <row r="165" spans="2:20" ht="3.75" customHeight="1" thickBot="1" x14ac:dyDescent="0.3">
      <c r="B165" s="440"/>
      <c r="C165" s="198"/>
      <c r="D165" s="188"/>
      <c r="E165" s="201"/>
      <c r="F165" s="202"/>
      <c r="G165" s="215"/>
      <c r="H165" s="220"/>
      <c r="I165" s="431"/>
      <c r="J165" s="431"/>
      <c r="K165" s="431"/>
      <c r="L165" s="221"/>
      <c r="M165" s="174"/>
      <c r="N165" s="84"/>
    </row>
    <row r="166" spans="2:20" ht="18.75" customHeight="1" thickBot="1" x14ac:dyDescent="0.35">
      <c r="B166" s="440"/>
      <c r="C166" s="198"/>
      <c r="D166" s="188" t="s">
        <v>391</v>
      </c>
      <c r="E166" s="198"/>
      <c r="F166" s="225" t="e">
        <f>(F164*$F$43/$F$41)</f>
        <v>#N/A</v>
      </c>
      <c r="G166" s="210" t="s">
        <v>16</v>
      </c>
      <c r="H166" s="222"/>
      <c r="I166" s="431"/>
      <c r="J166" s="431"/>
      <c r="K166" s="431"/>
      <c r="L166" s="221"/>
      <c r="M166" s="174"/>
      <c r="N166" s="84"/>
    </row>
    <row r="167" spans="2:20" ht="3.75" customHeight="1" thickBot="1" x14ac:dyDescent="0.3">
      <c r="B167" s="440"/>
      <c r="C167" s="201"/>
      <c r="D167" s="203"/>
      <c r="E167" s="198"/>
      <c r="F167" s="204"/>
      <c r="G167" s="216"/>
      <c r="H167" s="223"/>
      <c r="I167" s="431"/>
      <c r="J167" s="431"/>
      <c r="K167" s="431"/>
      <c r="L167" s="221"/>
      <c r="M167" s="175"/>
      <c r="N167" s="84"/>
    </row>
    <row r="168" spans="2:20" ht="18.75" customHeight="1" thickBot="1" x14ac:dyDescent="0.35">
      <c r="B168" s="440"/>
      <c r="C168" s="205"/>
      <c r="D168" s="188" t="s">
        <v>392</v>
      </c>
      <c r="E168" s="198"/>
      <c r="F168" s="225" t="e">
        <f>(F164*$F$33/$F$41)</f>
        <v>#N/A</v>
      </c>
      <c r="G168" s="213" t="s">
        <v>19</v>
      </c>
      <c r="H168" s="223"/>
      <c r="I168" s="431"/>
      <c r="J168" s="431"/>
      <c r="K168" s="431"/>
      <c r="L168" s="221"/>
      <c r="M168" s="175"/>
      <c r="N168" s="84"/>
      <c r="R168" s="206" t="s">
        <v>395</v>
      </c>
      <c r="S168" s="207"/>
      <c r="T168" s="208" t="e">
        <f>F168/$F$29</f>
        <v>#N/A</v>
      </c>
    </row>
    <row r="169" spans="2:20" ht="3.75" customHeight="1" thickBot="1" x14ac:dyDescent="0.3">
      <c r="B169" s="59"/>
      <c r="C169" s="60"/>
      <c r="D169" s="61"/>
      <c r="E169" s="60"/>
      <c r="F169" s="62"/>
      <c r="G169" s="60"/>
      <c r="H169" s="184"/>
      <c r="I169" s="184"/>
      <c r="J169" s="184"/>
      <c r="K169" s="185"/>
      <c r="L169" s="186"/>
      <c r="M169" s="171"/>
      <c r="N169" s="164"/>
    </row>
    <row r="170" spans="2:20" ht="18.75" customHeight="1" thickTop="1" thickBot="1" x14ac:dyDescent="0.3">
      <c r="B170" s="274"/>
      <c r="C170" s="274"/>
      <c r="D170" s="274"/>
      <c r="E170" s="274"/>
      <c r="F170" s="274"/>
      <c r="G170" s="274"/>
      <c r="H170" s="175"/>
      <c r="I170" s="178"/>
      <c r="J170" s="178"/>
      <c r="K170" s="178"/>
      <c r="L170" s="178"/>
      <c r="M170" s="178"/>
      <c r="N170" s="236"/>
      <c r="S170" s="126" t="s">
        <v>383</v>
      </c>
      <c r="T170" s="126" t="s">
        <v>385</v>
      </c>
    </row>
    <row r="171" spans="2:20" ht="36" customHeight="1" thickTop="1" x14ac:dyDescent="0.25">
      <c r="B171" s="441" t="s">
        <v>407</v>
      </c>
      <c r="C171" s="442"/>
      <c r="D171" s="442"/>
      <c r="E171" s="442"/>
      <c r="F171" s="442"/>
      <c r="G171" s="442"/>
      <c r="H171" s="446" t="s">
        <v>401</v>
      </c>
      <c r="I171" s="446"/>
      <c r="J171" s="446"/>
      <c r="K171" s="446"/>
      <c r="L171" s="447"/>
      <c r="M171" s="170"/>
      <c r="N171" s="167"/>
      <c r="R171" s="165" t="s">
        <v>386</v>
      </c>
      <c r="S171" s="131">
        <f>IF($F$11&lt;24,600,IF($F$11&gt;24,600+$R$23))</f>
        <v>600</v>
      </c>
      <c r="T171" s="131">
        <f>IF(S171&lt;1200,S171,1200)</f>
        <v>600</v>
      </c>
    </row>
    <row r="172" spans="2:20" ht="18.75" customHeight="1" thickBot="1" x14ac:dyDescent="0.35">
      <c r="B172" s="443" t="str">
        <f>IF($F$23&lt;=150," ",IF($F$23&lt;=250,"PRESSURE IS ABOVE 150 PSIG - CONTACT APPLICATIONS ENGINEERING",IF($F$23&gt;250,"NOT RECOMMENDED FOR THE GIVEN PRESSURE")))</f>
        <v xml:space="preserve"> </v>
      </c>
      <c r="C172" s="444"/>
      <c r="D172" s="444"/>
      <c r="E172" s="444"/>
      <c r="F172" s="444"/>
      <c r="G172" s="444"/>
      <c r="H172" s="444" t="str">
        <f>IF($F$7=$R$31,"THICKNESS APPLIES TO GYLON EPIX ONLY"," ")</f>
        <v xml:space="preserve"> </v>
      </c>
      <c r="I172" s="444"/>
      <c r="J172" s="444"/>
      <c r="K172" s="444"/>
      <c r="L172" s="449"/>
      <c r="M172" s="174"/>
      <c r="N172" s="169"/>
    </row>
    <row r="173" spans="2:20" ht="18.75" customHeight="1" thickBot="1" x14ac:dyDescent="0.3">
      <c r="B173" s="58"/>
      <c r="C173" s="42"/>
      <c r="D173" s="15" t="s">
        <v>324</v>
      </c>
      <c r="E173" s="42"/>
      <c r="F173" s="110">
        <f>($F$23)</f>
        <v>0</v>
      </c>
      <c r="G173" s="13" t="s">
        <v>290</v>
      </c>
      <c r="H173" s="84"/>
      <c r="I173" s="84"/>
      <c r="J173" s="84"/>
      <c r="K173" s="182"/>
      <c r="L173" s="183"/>
      <c r="M173" s="174"/>
      <c r="N173" s="236"/>
    </row>
    <row r="174" spans="2:20" ht="4.2" customHeight="1" thickBot="1" x14ac:dyDescent="0.3">
      <c r="B174" s="50"/>
      <c r="C174" s="43"/>
      <c r="D174" s="43"/>
      <c r="E174" s="43"/>
      <c r="F174" s="43"/>
      <c r="G174" s="43"/>
      <c r="H174" s="164"/>
      <c r="I174" s="164"/>
      <c r="J174" s="164"/>
      <c r="K174" s="171"/>
      <c r="L174" s="179"/>
      <c r="M174" s="171"/>
      <c r="N174" s="164"/>
    </row>
    <row r="175" spans="2:20" ht="18.75" customHeight="1" thickBot="1" x14ac:dyDescent="0.35">
      <c r="B175" s="1"/>
      <c r="C175" s="2"/>
      <c r="D175" s="17" t="s">
        <v>319</v>
      </c>
      <c r="E175" s="2"/>
      <c r="F175" s="228">
        <f>(F7)</f>
        <v>0</v>
      </c>
      <c r="G175" s="14" t="s">
        <v>321</v>
      </c>
      <c r="H175" s="38"/>
      <c r="I175" s="445" t="s">
        <v>396</v>
      </c>
      <c r="J175" s="445"/>
      <c r="K175" s="445"/>
      <c r="L175" s="217"/>
      <c r="M175" s="173"/>
      <c r="N175" s="38"/>
    </row>
    <row r="176" spans="2:20" ht="18" customHeight="1" thickBot="1" x14ac:dyDescent="0.35">
      <c r="B176" s="50"/>
      <c r="C176" s="227"/>
      <c r="D176" s="14"/>
      <c r="E176" s="2"/>
      <c r="F176" s="57"/>
      <c r="G176" s="14"/>
      <c r="H176" s="227"/>
      <c r="I176" s="227"/>
      <c r="J176" s="46"/>
      <c r="K176" s="181"/>
      <c r="L176" s="180"/>
      <c r="M176" s="173"/>
      <c r="N176" s="46"/>
    </row>
    <row r="177" spans="2:40" ht="18.75" customHeight="1" thickBot="1" x14ac:dyDescent="0.3">
      <c r="B177" s="440" t="s">
        <v>389</v>
      </c>
      <c r="C177" s="187"/>
      <c r="D177" s="188" t="s">
        <v>390</v>
      </c>
      <c r="E177" s="189"/>
      <c r="F177" s="224">
        <f>T171</f>
        <v>600</v>
      </c>
      <c r="G177" s="210" t="s">
        <v>19</v>
      </c>
      <c r="H177" s="220"/>
      <c r="I177" s="431" t="e">
        <f>IF(T181&lt;=0.75,$R$45,IF(T181&lt;=0.9,$R$46,IF(T181&lt;1,$R$47,IF(T181&gt;=1,$R$48))))</f>
        <v>#N/A</v>
      </c>
      <c r="J177" s="431"/>
      <c r="K177" s="431"/>
      <c r="L177" s="221"/>
      <c r="M177" s="173"/>
      <c r="N177" s="46"/>
    </row>
    <row r="178" spans="2:40" ht="4.2" customHeight="1" thickBot="1" x14ac:dyDescent="0.35">
      <c r="B178" s="440"/>
      <c r="C178" s="190"/>
      <c r="D178" s="191"/>
      <c r="E178" s="192"/>
      <c r="F178" s="193"/>
      <c r="G178" s="191"/>
      <c r="H178" s="190"/>
      <c r="I178" s="431"/>
      <c r="J178" s="431"/>
      <c r="K178" s="431"/>
      <c r="L178" s="221"/>
      <c r="M178" s="173"/>
      <c r="N178" s="39"/>
      <c r="R178" s="7">
        <f>IF($F$23&lt;301,2500,IF($F$23&lt;801,4800,IF($F$23&lt;2001,7400,IF($F$23&gt;2000,$R$11))))</f>
        <v>2500</v>
      </c>
      <c r="S178" s="7">
        <f>IF($F$23&lt;301,3600,IF($F$23&lt;801,5400,IF($F$23&lt;2001,8400,IF($F$23&gt;2000,$R$11))))</f>
        <v>3600</v>
      </c>
    </row>
    <row r="179" spans="2:40" ht="18.75" customHeight="1" thickBot="1" x14ac:dyDescent="0.35">
      <c r="B179" s="440"/>
      <c r="C179" s="190"/>
      <c r="D179" s="194" t="s">
        <v>391</v>
      </c>
      <c r="E179" s="195"/>
      <c r="F179" s="225" t="e">
        <f>(F177*$F$43/$F$41)</f>
        <v>#N/A</v>
      </c>
      <c r="G179" s="211" t="s">
        <v>16</v>
      </c>
      <c r="H179" s="190"/>
      <c r="I179" s="431"/>
      <c r="J179" s="431"/>
      <c r="K179" s="431"/>
      <c r="L179" s="221"/>
      <c r="M179" s="173"/>
      <c r="N179" s="39"/>
    </row>
    <row r="180" spans="2:40" ht="4.2" customHeight="1" thickBot="1" x14ac:dyDescent="0.35">
      <c r="B180" s="440"/>
      <c r="C180" s="196"/>
      <c r="D180" s="197"/>
      <c r="E180" s="192"/>
      <c r="F180" s="193"/>
      <c r="G180" s="212"/>
      <c r="H180" s="196"/>
      <c r="I180" s="431"/>
      <c r="J180" s="431"/>
      <c r="K180" s="431"/>
      <c r="L180" s="221"/>
      <c r="M180" s="173"/>
      <c r="N180" s="94"/>
    </row>
    <row r="181" spans="2:40" ht="18.75" customHeight="1" thickBot="1" x14ac:dyDescent="0.35">
      <c r="B181" s="440"/>
      <c r="C181" s="196"/>
      <c r="D181" s="197" t="s">
        <v>392</v>
      </c>
      <c r="E181" s="192"/>
      <c r="F181" s="225" t="e">
        <f>(F177*$F$33/$F$41)</f>
        <v>#N/A</v>
      </c>
      <c r="G181" s="213" t="s">
        <v>19</v>
      </c>
      <c r="H181" s="196"/>
      <c r="I181" s="431"/>
      <c r="J181" s="431"/>
      <c r="K181" s="431"/>
      <c r="L181" s="221"/>
      <c r="M181" s="173"/>
      <c r="N181" s="94"/>
      <c r="R181" s="206" t="s">
        <v>394</v>
      </c>
      <c r="S181" s="207"/>
      <c r="T181" s="208" t="e">
        <f>F181/$F$29</f>
        <v>#N/A</v>
      </c>
    </row>
    <row r="182" spans="2:40" ht="18" customHeight="1" thickBot="1" x14ac:dyDescent="0.3">
      <c r="B182" s="1"/>
      <c r="C182" s="11"/>
      <c r="D182" s="95"/>
      <c r="E182" s="94"/>
      <c r="F182" s="96"/>
      <c r="G182" s="97"/>
      <c r="H182" s="84"/>
      <c r="I182" s="84"/>
      <c r="J182" s="84"/>
      <c r="K182" s="181"/>
      <c r="L182" s="180"/>
      <c r="M182" s="173"/>
      <c r="N182" s="84"/>
    </row>
    <row r="183" spans="2:40" ht="18.75" customHeight="1" thickBot="1" x14ac:dyDescent="0.3">
      <c r="B183" s="440" t="s">
        <v>393</v>
      </c>
      <c r="C183" s="198"/>
      <c r="D183" s="199" t="s">
        <v>390</v>
      </c>
      <c r="E183" s="196"/>
      <c r="F183" s="226">
        <v>1200</v>
      </c>
      <c r="G183" s="214" t="s">
        <v>19</v>
      </c>
      <c r="H183" s="220"/>
      <c r="I183" s="431" t="e">
        <f>IF(T187&lt;=0.75,$R$45,IF(T187&lt;=0.9,$R$46,IF(T187&lt;1,$R$47,IF(T187&gt;=1,$R$48))))</f>
        <v>#N/A</v>
      </c>
      <c r="J183" s="431"/>
      <c r="K183" s="431"/>
      <c r="L183" s="221"/>
      <c r="M183" s="174"/>
      <c r="N183" s="84"/>
    </row>
    <row r="184" spans="2:40" ht="4.2" customHeight="1" thickBot="1" x14ac:dyDescent="0.3">
      <c r="B184" s="440"/>
      <c r="C184" s="198"/>
      <c r="D184" s="188"/>
      <c r="E184" s="201"/>
      <c r="F184" s="202"/>
      <c r="G184" s="215"/>
      <c r="H184" s="220"/>
      <c r="I184" s="431"/>
      <c r="J184" s="431"/>
      <c r="K184" s="431"/>
      <c r="L184" s="221"/>
      <c r="M184" s="174"/>
      <c r="N184" s="84"/>
    </row>
    <row r="185" spans="2:40" ht="18.75" customHeight="1" thickBot="1" x14ac:dyDescent="0.35">
      <c r="B185" s="440"/>
      <c r="C185" s="198"/>
      <c r="D185" s="188" t="s">
        <v>391</v>
      </c>
      <c r="E185" s="198"/>
      <c r="F185" s="225" t="e">
        <f>(F183*$F$43/$F$41)</f>
        <v>#N/A</v>
      </c>
      <c r="G185" s="210" t="s">
        <v>16</v>
      </c>
      <c r="H185" s="222"/>
      <c r="I185" s="431"/>
      <c r="J185" s="431"/>
      <c r="K185" s="431"/>
      <c r="L185" s="221"/>
      <c r="M185" s="174"/>
      <c r="N185" s="84"/>
    </row>
    <row r="186" spans="2:40" ht="4.2" customHeight="1" thickBot="1" x14ac:dyDescent="0.3">
      <c r="B186" s="440"/>
      <c r="C186" s="201"/>
      <c r="D186" s="203"/>
      <c r="E186" s="198"/>
      <c r="F186" s="204"/>
      <c r="G186" s="216"/>
      <c r="H186" s="223"/>
      <c r="I186" s="431"/>
      <c r="J186" s="431"/>
      <c r="K186" s="431"/>
      <c r="L186" s="221"/>
      <c r="M186" s="175"/>
      <c r="N186" s="84"/>
    </row>
    <row r="187" spans="2:40" ht="18.75" customHeight="1" thickBot="1" x14ac:dyDescent="0.35">
      <c r="B187" s="440"/>
      <c r="C187" s="205"/>
      <c r="D187" s="188" t="s">
        <v>392</v>
      </c>
      <c r="E187" s="198"/>
      <c r="F187" s="225" t="e">
        <f>(F183*$F$33/$F$41)</f>
        <v>#N/A</v>
      </c>
      <c r="G187" s="213" t="s">
        <v>19</v>
      </c>
      <c r="H187" s="223"/>
      <c r="I187" s="431"/>
      <c r="J187" s="431"/>
      <c r="K187" s="431"/>
      <c r="L187" s="221"/>
      <c r="M187" s="175"/>
      <c r="N187" s="84"/>
      <c r="R187" s="206" t="s">
        <v>395</v>
      </c>
      <c r="S187" s="207"/>
      <c r="T187" s="208" t="e">
        <f>F187/$F$29</f>
        <v>#N/A</v>
      </c>
    </row>
    <row r="188" spans="2:40" ht="4.2" customHeight="1" thickBot="1" x14ac:dyDescent="0.3">
      <c r="B188" s="59"/>
      <c r="C188" s="60"/>
      <c r="D188" s="61"/>
      <c r="E188" s="60"/>
      <c r="F188" s="62"/>
      <c r="G188" s="60"/>
      <c r="H188" s="184"/>
      <c r="I188" s="184"/>
      <c r="J188" s="184"/>
      <c r="K188" s="184"/>
      <c r="L188" s="219"/>
      <c r="M188" s="164"/>
      <c r="N188" s="164"/>
    </row>
    <row r="189" spans="2:40" s="238" customFormat="1" ht="18.75" customHeight="1" thickTop="1" x14ac:dyDescent="0.25">
      <c r="B189" s="358"/>
      <c r="C189" s="358"/>
      <c r="D189" s="358"/>
      <c r="E189" s="358"/>
      <c r="F189" s="358"/>
      <c r="G189" s="358"/>
      <c r="H189" s="178"/>
      <c r="I189" s="178"/>
      <c r="J189" s="178"/>
      <c r="K189" s="178"/>
      <c r="L189" s="178"/>
      <c r="M189" s="178"/>
      <c r="N189" s="178"/>
      <c r="AN189" s="348"/>
    </row>
    <row r="190" spans="2:40" s="238" customFormat="1" ht="18.75" hidden="1" customHeight="1" x14ac:dyDescent="0.25">
      <c r="B190" s="358"/>
      <c r="C190" s="358"/>
      <c r="D190" s="358"/>
      <c r="E190" s="358"/>
      <c r="F190" s="358"/>
      <c r="G190" s="358"/>
      <c r="AN190" s="348"/>
    </row>
    <row r="191" spans="2:40" s="238" customFormat="1" ht="18.75" hidden="1" customHeight="1" x14ac:dyDescent="0.25">
      <c r="B191" s="358"/>
      <c r="C191" s="358"/>
      <c r="D191" s="358"/>
      <c r="E191" s="358"/>
      <c r="F191" s="358"/>
      <c r="G191" s="358"/>
      <c r="AN191" s="348"/>
    </row>
    <row r="192" spans="2:40" ht="18.75" hidden="1" customHeight="1" x14ac:dyDescent="0.25">
      <c r="B192" s="359"/>
      <c r="C192" s="359"/>
      <c r="D192" s="359"/>
      <c r="E192" s="359"/>
      <c r="F192" s="359"/>
      <c r="G192" s="359"/>
    </row>
    <row r="193" spans="2:30" ht="18.75" hidden="1" customHeight="1" x14ac:dyDescent="0.25">
      <c r="B193" s="359"/>
      <c r="C193" s="359"/>
      <c r="D193" s="359"/>
      <c r="E193" s="359"/>
      <c r="F193" s="359"/>
      <c r="G193" s="359"/>
    </row>
    <row r="194" spans="2:30" ht="18.75" hidden="1" customHeight="1" x14ac:dyDescent="0.25">
      <c r="B194" s="359"/>
      <c r="C194" s="359"/>
      <c r="D194" s="359"/>
      <c r="E194" s="359"/>
      <c r="F194" s="359"/>
      <c r="G194" s="359"/>
    </row>
    <row r="195" spans="2:30" ht="18.75" hidden="1" customHeight="1" x14ac:dyDescent="0.25">
      <c r="B195" s="359"/>
      <c r="C195" s="359"/>
      <c r="D195" s="359"/>
      <c r="E195" s="359"/>
      <c r="F195" s="359"/>
      <c r="G195" s="359"/>
    </row>
    <row r="196" spans="2:30" ht="18.75" hidden="1" customHeight="1" x14ac:dyDescent="0.25">
      <c r="B196" s="359"/>
      <c r="C196" s="359"/>
      <c r="D196" s="359"/>
      <c r="E196" s="359"/>
      <c r="F196" s="359"/>
      <c r="G196" s="359"/>
    </row>
    <row r="197" spans="2:30" ht="18.75" hidden="1" customHeight="1" x14ac:dyDescent="0.25">
      <c r="B197" s="359"/>
      <c r="C197" s="359"/>
      <c r="D197" s="359"/>
      <c r="E197" s="359"/>
      <c r="F197" s="359"/>
      <c r="G197" s="359"/>
    </row>
    <row r="198" spans="2:30" ht="18.75" hidden="1" customHeight="1" x14ac:dyDescent="0.25">
      <c r="B198" s="359"/>
      <c r="C198" s="359"/>
      <c r="D198" s="359"/>
      <c r="E198" s="359"/>
      <c r="F198" s="359"/>
      <c r="G198" s="359"/>
    </row>
    <row r="199" spans="2:30" ht="18.75" hidden="1" customHeight="1" x14ac:dyDescent="0.25">
      <c r="B199" s="359"/>
      <c r="C199" s="359"/>
      <c r="D199" s="359"/>
      <c r="E199" s="359"/>
      <c r="F199" s="359"/>
      <c r="G199" s="359"/>
    </row>
    <row r="200" spans="2:30" ht="18.75" hidden="1" customHeight="1" x14ac:dyDescent="0.25">
      <c r="B200" s="359"/>
      <c r="C200" s="359"/>
      <c r="D200" s="359"/>
      <c r="E200" s="359"/>
      <c r="F200" s="359"/>
      <c r="G200" s="359"/>
      <c r="AA200" s="7" t="s">
        <v>41</v>
      </c>
    </row>
    <row r="201" spans="2:30" ht="18.75" hidden="1" customHeight="1" x14ac:dyDescent="0.25">
      <c r="B201" s="359"/>
      <c r="C201" s="359"/>
      <c r="D201" s="359"/>
      <c r="E201" s="359"/>
      <c r="F201" s="359"/>
      <c r="G201" s="359"/>
      <c r="AA201" s="7" t="s">
        <v>42</v>
      </c>
      <c r="AC201" s="28">
        <v>0.25</v>
      </c>
      <c r="AD201" s="7" t="e">
        <f>LOOKUP($F$27,BOLT!$A$1:$A$39,BOLT!B$1:B$39)</f>
        <v>#N/A</v>
      </c>
    </row>
    <row r="202" spans="2:30" ht="18.75" hidden="1" customHeight="1" x14ac:dyDescent="0.25">
      <c r="B202" s="359"/>
      <c r="C202" s="359"/>
      <c r="D202" s="359"/>
      <c r="E202" s="359"/>
      <c r="F202" s="359"/>
      <c r="G202" s="359"/>
      <c r="AA202" s="7" t="s">
        <v>43</v>
      </c>
      <c r="AC202" s="28">
        <v>0.3125</v>
      </c>
      <c r="AD202" s="7" t="e">
        <f>LOOKUP($F$27,BOLT!$A$1:$A$39,BOLT!C$1:C$39)</f>
        <v>#N/A</v>
      </c>
    </row>
    <row r="203" spans="2:30" ht="18.75" hidden="1" customHeight="1" x14ac:dyDescent="0.25">
      <c r="B203" s="359"/>
      <c r="C203" s="359"/>
      <c r="D203" s="359"/>
      <c r="E203" s="359"/>
      <c r="F203" s="359"/>
      <c r="G203" s="359"/>
      <c r="AA203" s="7" t="s">
        <v>44</v>
      </c>
      <c r="AC203" s="28">
        <v>0.375</v>
      </c>
      <c r="AD203" s="7" t="e">
        <f>LOOKUP($F$27,BOLT!$A$1:$A$39,BOLT!D$1:D$39)</f>
        <v>#N/A</v>
      </c>
    </row>
    <row r="204" spans="2:30" ht="18.75" hidden="1" customHeight="1" x14ac:dyDescent="0.25">
      <c r="B204" s="359"/>
      <c r="C204" s="359"/>
      <c r="D204" s="359"/>
      <c r="E204" s="359"/>
      <c r="F204" s="359"/>
      <c r="G204" s="359"/>
      <c r="AA204" s="7" t="s">
        <v>45</v>
      </c>
      <c r="AC204" s="28">
        <v>0.4375</v>
      </c>
      <c r="AD204" s="7" t="e">
        <f>LOOKUP($F$27,BOLT!$A$1:$A$39,BOLT!E$1:E$39)</f>
        <v>#N/A</v>
      </c>
    </row>
    <row r="205" spans="2:30" ht="18.75" hidden="1" customHeight="1" x14ac:dyDescent="0.25">
      <c r="B205" s="359"/>
      <c r="C205" s="359"/>
      <c r="D205" s="359"/>
      <c r="E205" s="359"/>
      <c r="F205" s="359"/>
      <c r="G205" s="359"/>
      <c r="AA205" s="7" t="s">
        <v>46</v>
      </c>
      <c r="AC205" s="28">
        <v>0.5</v>
      </c>
      <c r="AD205" s="7" t="e">
        <f>LOOKUP($F$27,BOLT!$A$1:$A$39,BOLT!F$1:F$39)</f>
        <v>#N/A</v>
      </c>
    </row>
    <row r="206" spans="2:30" ht="18.75" hidden="1" customHeight="1" x14ac:dyDescent="0.25">
      <c r="B206" s="359"/>
      <c r="C206" s="359"/>
      <c r="D206" s="359"/>
      <c r="E206" s="359"/>
      <c r="F206" s="359"/>
      <c r="G206" s="359"/>
      <c r="AA206" s="7" t="s">
        <v>47</v>
      </c>
      <c r="AC206" s="28">
        <v>0.5625</v>
      </c>
      <c r="AD206" s="7" t="e">
        <f>LOOKUP($F$27,BOLT!$A$1:$A$39,BOLT!G$1:G$39)</f>
        <v>#N/A</v>
      </c>
    </row>
    <row r="207" spans="2:30" ht="18.75" hidden="1" customHeight="1" x14ac:dyDescent="0.25">
      <c r="B207" s="359"/>
      <c r="C207" s="359"/>
      <c r="D207" s="359"/>
      <c r="E207" s="359"/>
      <c r="F207" s="359"/>
      <c r="G207" s="359"/>
      <c r="AA207" s="7" t="s">
        <v>48</v>
      </c>
      <c r="AC207" s="28">
        <v>0.625</v>
      </c>
      <c r="AD207" s="7" t="e">
        <f>LOOKUP($F$27,BOLT!$A$1:$A$39,BOLT!H$1:H$39)</f>
        <v>#N/A</v>
      </c>
    </row>
    <row r="208" spans="2:30" ht="18.75" hidden="1" customHeight="1" x14ac:dyDescent="0.25">
      <c r="B208" s="359"/>
      <c r="C208" s="359"/>
      <c r="D208" s="359"/>
      <c r="E208" s="359"/>
      <c r="F208" s="359"/>
      <c r="G208" s="359"/>
      <c r="AA208" s="7" t="s">
        <v>49</v>
      </c>
      <c r="AC208" s="28">
        <v>0.75</v>
      </c>
      <c r="AD208" s="7" t="e">
        <f>LOOKUP($F$27,BOLT!$A$1:$A$39,BOLT!I$1:I$39)</f>
        <v>#N/A</v>
      </c>
    </row>
    <row r="209" spans="2:30" ht="18.75" hidden="1" customHeight="1" x14ac:dyDescent="0.25">
      <c r="B209" s="359"/>
      <c r="C209" s="359"/>
      <c r="D209" s="359"/>
      <c r="E209" s="359"/>
      <c r="F209" s="359"/>
      <c r="G209" s="359"/>
      <c r="AA209" s="7" t="s">
        <v>50</v>
      </c>
      <c r="AC209" s="28">
        <v>0.875</v>
      </c>
      <c r="AD209" s="7" t="e">
        <f>LOOKUP($F$27,BOLT!$A$1:$A$39,BOLT!J$1:J$39)</f>
        <v>#N/A</v>
      </c>
    </row>
    <row r="210" spans="2:30" ht="18.75" hidden="1" customHeight="1" x14ac:dyDescent="0.25">
      <c r="B210" s="359"/>
      <c r="C210" s="359"/>
      <c r="D210" s="359"/>
      <c r="E210" s="359"/>
      <c r="F210" s="359"/>
      <c r="G210" s="359"/>
      <c r="AA210" s="7" t="s">
        <v>51</v>
      </c>
      <c r="AC210" s="28">
        <v>1</v>
      </c>
      <c r="AD210" s="7" t="e">
        <f>LOOKUP($F$27,BOLT!$A$1:$A$39,BOLT!K$1:K$39)</f>
        <v>#N/A</v>
      </c>
    </row>
    <row r="211" spans="2:30" ht="18.75" hidden="1" customHeight="1" x14ac:dyDescent="0.25">
      <c r="B211" s="359"/>
      <c r="C211" s="359"/>
      <c r="D211" s="359"/>
      <c r="E211" s="359"/>
      <c r="F211" s="359"/>
      <c r="G211" s="359"/>
      <c r="AA211" s="7" t="s">
        <v>52</v>
      </c>
      <c r="AC211" s="28">
        <v>1.125</v>
      </c>
      <c r="AD211" s="7" t="e">
        <f>LOOKUP($F$27,BOLT!$A$1:$A$39,BOLT!L$1:L$39)</f>
        <v>#N/A</v>
      </c>
    </row>
    <row r="212" spans="2:30" ht="18.75" hidden="1" customHeight="1" x14ac:dyDescent="0.25">
      <c r="B212" s="359"/>
      <c r="C212" s="359"/>
      <c r="D212" s="359"/>
      <c r="E212" s="359"/>
      <c r="F212" s="359"/>
      <c r="G212" s="359"/>
      <c r="AA212" s="7" t="s">
        <v>53</v>
      </c>
      <c r="AC212" s="28">
        <v>1.25</v>
      </c>
      <c r="AD212" s="7" t="e">
        <f>LOOKUP($F$27,BOLT!$A$1:$A$39,BOLT!M$1:M$39)</f>
        <v>#N/A</v>
      </c>
    </row>
    <row r="213" spans="2:30" ht="18.75" hidden="1" customHeight="1" x14ac:dyDescent="0.25">
      <c r="B213" s="359"/>
      <c r="C213" s="359"/>
      <c r="D213" s="359"/>
      <c r="E213" s="359"/>
      <c r="F213" s="359"/>
      <c r="G213" s="359"/>
      <c r="AA213" s="7" t="s">
        <v>54</v>
      </c>
      <c r="AC213" s="28">
        <v>1.375</v>
      </c>
      <c r="AD213" s="7" t="e">
        <f>LOOKUP($F$27,BOLT!$A$1:$A$39,BOLT!N$1:N$39)</f>
        <v>#N/A</v>
      </c>
    </row>
    <row r="214" spans="2:30" hidden="1" x14ac:dyDescent="0.25">
      <c r="B214" s="359"/>
      <c r="C214" s="359"/>
      <c r="D214" s="359"/>
      <c r="E214" s="359"/>
      <c r="F214" s="359"/>
      <c r="G214" s="359"/>
      <c r="AA214" s="7" t="s">
        <v>55</v>
      </c>
      <c r="AC214" s="28">
        <v>1.5</v>
      </c>
      <c r="AD214" s="7" t="e">
        <f>LOOKUP($F$27,BOLT!$A$1:$A$39,BOLT!O$1:O$39)</f>
        <v>#N/A</v>
      </c>
    </row>
    <row r="215" spans="2:30" hidden="1" x14ac:dyDescent="0.25">
      <c r="AA215" s="7" t="s">
        <v>57</v>
      </c>
      <c r="AC215" s="28">
        <v>1.625</v>
      </c>
      <c r="AD215" s="7" t="e">
        <f>LOOKUP($F$27,BOLT!$A$1:$A$39,BOLT!P$1:P$39)</f>
        <v>#N/A</v>
      </c>
    </row>
    <row r="216" spans="2:30" hidden="1" x14ac:dyDescent="0.25">
      <c r="AA216" s="7" t="s">
        <v>58</v>
      </c>
      <c r="AC216" s="28">
        <v>1.75</v>
      </c>
      <c r="AD216" s="7" t="e">
        <f>LOOKUP($F$27,BOLT!$A$1:$A$39,BOLT!Q$1:Q$39)</f>
        <v>#N/A</v>
      </c>
    </row>
    <row r="217" spans="2:30" hidden="1" x14ac:dyDescent="0.25">
      <c r="AA217" s="7" t="s">
        <v>59</v>
      </c>
      <c r="AC217" s="28">
        <v>1.875</v>
      </c>
      <c r="AD217" s="7" t="e">
        <f>LOOKUP($F$27,BOLT!$A$1:$A$39,BOLT!R$1:R$39)</f>
        <v>#N/A</v>
      </c>
    </row>
    <row r="218" spans="2:30" hidden="1" x14ac:dyDescent="0.25">
      <c r="AA218" s="7" t="s">
        <v>60</v>
      </c>
      <c r="AC218" s="28">
        <v>2</v>
      </c>
      <c r="AD218" s="7" t="e">
        <f>LOOKUP($F$27,BOLT!$A$1:$A$39,BOLT!S$1:S$39)</f>
        <v>#N/A</v>
      </c>
    </row>
    <row r="219" spans="2:30" hidden="1" x14ac:dyDescent="0.25">
      <c r="AA219" s="7" t="s">
        <v>61</v>
      </c>
      <c r="AC219" s="28">
        <v>2.25</v>
      </c>
      <c r="AD219" s="7" t="e">
        <f>LOOKUP($F$27,BOLT!$A$1:$A$39,BOLT!T$1:T$39)</f>
        <v>#N/A</v>
      </c>
    </row>
    <row r="220" spans="2:30" hidden="1" x14ac:dyDescent="0.25">
      <c r="AA220" s="7" t="s">
        <v>62</v>
      </c>
      <c r="AC220" s="28">
        <v>2.5</v>
      </c>
      <c r="AD220" s="7" t="e">
        <f>LOOKUP($F$27,BOLT!$A$1:$A$39,BOLT!U$1:U$39)</f>
        <v>#N/A</v>
      </c>
    </row>
    <row r="221" spans="2:30" hidden="1" x14ac:dyDescent="0.25">
      <c r="AA221" s="7" t="s">
        <v>63</v>
      </c>
      <c r="AC221" s="28">
        <v>2.75</v>
      </c>
      <c r="AD221" s="7" t="e">
        <f>LOOKUP($F$27,BOLT!$A$1:$A$39,BOLT!V$1:V$39)</f>
        <v>#N/A</v>
      </c>
    </row>
    <row r="222" spans="2:30" hidden="1" x14ac:dyDescent="0.25">
      <c r="AA222" s="7" t="s">
        <v>64</v>
      </c>
      <c r="AC222" s="28">
        <v>3</v>
      </c>
      <c r="AD222" s="7" t="e">
        <f>LOOKUP($F$27,BOLT!$A$1:$A$39,BOLT!W$1:W$39)</f>
        <v>#N/A</v>
      </c>
    </row>
    <row r="223" spans="2:30" hidden="1" x14ac:dyDescent="0.25">
      <c r="AA223" s="7" t="s">
        <v>65</v>
      </c>
    </row>
    <row r="224" spans="2:30" hidden="1" x14ac:dyDescent="0.25">
      <c r="AA224" s="7" t="s">
        <v>66</v>
      </c>
    </row>
    <row r="225" spans="27:27" hidden="1" x14ac:dyDescent="0.25">
      <c r="AA225" s="7" t="s">
        <v>67</v>
      </c>
    </row>
    <row r="226" spans="27:27" hidden="1" x14ac:dyDescent="0.25">
      <c r="AA226" s="7" t="s">
        <v>68</v>
      </c>
    </row>
    <row r="227" spans="27:27" hidden="1" x14ac:dyDescent="0.25">
      <c r="AA227" s="7" t="s">
        <v>69</v>
      </c>
    </row>
    <row r="228" spans="27:27" hidden="1" x14ac:dyDescent="0.25">
      <c r="AA228" s="7" t="s">
        <v>70</v>
      </c>
    </row>
    <row r="229" spans="27:27" hidden="1" x14ac:dyDescent="0.25">
      <c r="AA229" s="7" t="s">
        <v>71</v>
      </c>
    </row>
    <row r="230" spans="27:27" hidden="1" x14ac:dyDescent="0.25">
      <c r="AA230" s="7" t="s">
        <v>72</v>
      </c>
    </row>
    <row r="231" spans="27:27" hidden="1" x14ac:dyDescent="0.25">
      <c r="AA231" s="7" t="s">
        <v>73</v>
      </c>
    </row>
    <row r="232" spans="27:27" hidden="1" x14ac:dyDescent="0.25">
      <c r="AA232" s="7" t="s">
        <v>74</v>
      </c>
    </row>
    <row r="233" spans="27:27" hidden="1" x14ac:dyDescent="0.25">
      <c r="AA233" s="7" t="s">
        <v>75</v>
      </c>
    </row>
    <row r="234" spans="27:27" hidden="1" x14ac:dyDescent="0.25">
      <c r="AA234" s="7" t="s">
        <v>76</v>
      </c>
    </row>
    <row r="235" spans="27:27" hidden="1" x14ac:dyDescent="0.25">
      <c r="AA235" s="7" t="s">
        <v>77</v>
      </c>
    </row>
    <row r="236" spans="27:27" hidden="1" x14ac:dyDescent="0.25">
      <c r="AA236" s="7" t="s">
        <v>78</v>
      </c>
    </row>
    <row r="237" spans="27:27" hidden="1" x14ac:dyDescent="0.25">
      <c r="AA237" s="7" t="s">
        <v>79</v>
      </c>
    </row>
    <row r="238" spans="27:27" hidden="1" x14ac:dyDescent="0.25">
      <c r="AA238" s="7" t="s">
        <v>80</v>
      </c>
    </row>
  </sheetData>
  <sheetProtection password="D401" sheet="1" objects="1" scenarios="1" selectLockedCells="1"/>
  <mergeCells count="67">
    <mergeCell ref="H51:L51"/>
    <mergeCell ref="B50:G50"/>
    <mergeCell ref="H68:L68"/>
    <mergeCell ref="H102:L102"/>
    <mergeCell ref="H119:L119"/>
    <mergeCell ref="H136:L136"/>
    <mergeCell ref="B3:L3"/>
    <mergeCell ref="B51:G51"/>
    <mergeCell ref="B85:G85"/>
    <mergeCell ref="B54:B58"/>
    <mergeCell ref="B60:B64"/>
    <mergeCell ref="F27:G27"/>
    <mergeCell ref="J6:M6"/>
    <mergeCell ref="I54:K58"/>
    <mergeCell ref="I60:K64"/>
    <mergeCell ref="I71:K75"/>
    <mergeCell ref="B68:G68"/>
    <mergeCell ref="B45:L47"/>
    <mergeCell ref="H50:L50"/>
    <mergeCell ref="H172:L172"/>
    <mergeCell ref="I52:K52"/>
    <mergeCell ref="I69:K69"/>
    <mergeCell ref="B71:B75"/>
    <mergeCell ref="B77:B81"/>
    <mergeCell ref="I156:K156"/>
    <mergeCell ref="I88:K92"/>
    <mergeCell ref="B111:B115"/>
    <mergeCell ref="B122:B126"/>
    <mergeCell ref="I103:K103"/>
    <mergeCell ref="H153:L153"/>
    <mergeCell ref="B102:G102"/>
    <mergeCell ref="B88:B92"/>
    <mergeCell ref="B94:B98"/>
    <mergeCell ref="B105:B109"/>
    <mergeCell ref="H85:L85"/>
    <mergeCell ref="I122:K126"/>
    <mergeCell ref="I120:K120"/>
    <mergeCell ref="H152:L152"/>
    <mergeCell ref="I33:K33"/>
    <mergeCell ref="I175:K175"/>
    <mergeCell ref="I128:K132"/>
    <mergeCell ref="I139:K143"/>
    <mergeCell ref="I145:K149"/>
    <mergeCell ref="I158:K162"/>
    <mergeCell ref="I164:K168"/>
    <mergeCell ref="H171:L171"/>
    <mergeCell ref="I77:K81"/>
    <mergeCell ref="I94:K98"/>
    <mergeCell ref="I105:K109"/>
    <mergeCell ref="H84:L84"/>
    <mergeCell ref="I86:K86"/>
    <mergeCell ref="H67:L67"/>
    <mergeCell ref="B177:B181"/>
    <mergeCell ref="B183:B187"/>
    <mergeCell ref="B128:B132"/>
    <mergeCell ref="B139:B143"/>
    <mergeCell ref="B145:B149"/>
    <mergeCell ref="B158:B162"/>
    <mergeCell ref="B164:B168"/>
    <mergeCell ref="B171:G171"/>
    <mergeCell ref="B172:G172"/>
    <mergeCell ref="B153:G153"/>
    <mergeCell ref="B152:G152"/>
    <mergeCell ref="I177:K181"/>
    <mergeCell ref="I183:K187"/>
    <mergeCell ref="I137:K137"/>
    <mergeCell ref="I111:K115"/>
  </mergeCells>
  <phoneticPr fontId="0" type="noConversion"/>
  <conditionalFormatting sqref="I54:L58">
    <cfRule type="cellIs" dxfId="372" priority="133" operator="equal">
      <formula>$R$47</formula>
    </cfRule>
    <cfRule type="cellIs" dxfId="371" priority="134" operator="equal">
      <formula>$R$46</formula>
    </cfRule>
    <cfRule type="cellIs" dxfId="370" priority="135" operator="equal">
      <formula>$R$45</formula>
    </cfRule>
  </conditionalFormatting>
  <conditionalFormatting sqref="L77:L81">
    <cfRule type="cellIs" dxfId="369" priority="118" operator="equal">
      <formula>$R$47</formula>
    </cfRule>
    <cfRule type="cellIs" dxfId="368" priority="119" operator="equal">
      <formula>$R$46</formula>
    </cfRule>
    <cfRule type="cellIs" dxfId="367" priority="120" operator="equal">
      <formula>$R$45</formula>
    </cfRule>
  </conditionalFormatting>
  <conditionalFormatting sqref="L60:L64">
    <cfRule type="cellIs" dxfId="366" priority="124" operator="equal">
      <formula>$R$47</formula>
    </cfRule>
    <cfRule type="cellIs" dxfId="365" priority="125" operator="equal">
      <formula>$R$46</formula>
    </cfRule>
    <cfRule type="cellIs" dxfId="364" priority="126" operator="equal">
      <formula>$R$45</formula>
    </cfRule>
  </conditionalFormatting>
  <conditionalFormatting sqref="L71:L75">
    <cfRule type="cellIs" dxfId="363" priority="121" operator="equal">
      <formula>$R$47</formula>
    </cfRule>
    <cfRule type="cellIs" dxfId="362" priority="122" operator="equal">
      <formula>$R$46</formula>
    </cfRule>
    <cfRule type="cellIs" dxfId="361" priority="123" operator="equal">
      <formula>$R$45</formula>
    </cfRule>
  </conditionalFormatting>
  <conditionalFormatting sqref="L94:L98">
    <cfRule type="cellIs" dxfId="360" priority="112" operator="equal">
      <formula>$R$47</formula>
    </cfRule>
    <cfRule type="cellIs" dxfId="359" priority="113" operator="equal">
      <formula>$R$46</formula>
    </cfRule>
    <cfRule type="cellIs" dxfId="358" priority="114" operator="equal">
      <formula>$R$45</formula>
    </cfRule>
  </conditionalFormatting>
  <conditionalFormatting sqref="L88:L92">
    <cfRule type="cellIs" dxfId="357" priority="115" operator="equal">
      <formula>$R$47</formula>
    </cfRule>
    <cfRule type="cellIs" dxfId="356" priority="116" operator="equal">
      <formula>$R$46</formula>
    </cfRule>
    <cfRule type="cellIs" dxfId="355" priority="117" operator="equal">
      <formula>$R$45</formula>
    </cfRule>
  </conditionalFormatting>
  <conditionalFormatting sqref="L111:L115">
    <cfRule type="cellIs" dxfId="354" priority="106" operator="equal">
      <formula>$R$47</formula>
    </cfRule>
    <cfRule type="cellIs" dxfId="353" priority="107" operator="equal">
      <formula>$R$46</formula>
    </cfRule>
    <cfRule type="cellIs" dxfId="352" priority="108" operator="equal">
      <formula>$R$45</formula>
    </cfRule>
  </conditionalFormatting>
  <conditionalFormatting sqref="L105:L109">
    <cfRule type="cellIs" dxfId="351" priority="109" operator="equal">
      <formula>$R$47</formula>
    </cfRule>
    <cfRule type="cellIs" dxfId="350" priority="110" operator="equal">
      <formula>$R$46</formula>
    </cfRule>
    <cfRule type="cellIs" dxfId="349" priority="111" operator="equal">
      <formula>$R$45</formula>
    </cfRule>
  </conditionalFormatting>
  <conditionalFormatting sqref="L128:L132">
    <cfRule type="cellIs" dxfId="348" priority="100" operator="equal">
      <formula>$R$47</formula>
    </cfRule>
    <cfRule type="cellIs" dxfId="347" priority="101" operator="equal">
      <formula>$R$46</formula>
    </cfRule>
    <cfRule type="cellIs" dxfId="346" priority="102" operator="equal">
      <formula>$R$45</formula>
    </cfRule>
  </conditionalFormatting>
  <conditionalFormatting sqref="L122:L126">
    <cfRule type="cellIs" dxfId="345" priority="103" operator="equal">
      <formula>$R$47</formula>
    </cfRule>
    <cfRule type="cellIs" dxfId="344" priority="104" operator="equal">
      <formula>$R$46</formula>
    </cfRule>
    <cfRule type="cellIs" dxfId="343" priority="105" operator="equal">
      <formula>$R$45</formula>
    </cfRule>
  </conditionalFormatting>
  <conditionalFormatting sqref="L145:L149">
    <cfRule type="cellIs" dxfId="342" priority="94" operator="equal">
      <formula>$R$47</formula>
    </cfRule>
    <cfRule type="cellIs" dxfId="341" priority="95" operator="equal">
      <formula>$R$46</formula>
    </cfRule>
    <cfRule type="cellIs" dxfId="340" priority="96" operator="equal">
      <formula>$R$45</formula>
    </cfRule>
  </conditionalFormatting>
  <conditionalFormatting sqref="L139:L143">
    <cfRule type="cellIs" dxfId="339" priority="97" operator="equal">
      <formula>$R$47</formula>
    </cfRule>
    <cfRule type="cellIs" dxfId="338" priority="98" operator="equal">
      <formula>$R$46</formula>
    </cfRule>
    <cfRule type="cellIs" dxfId="337" priority="99" operator="equal">
      <formula>$R$45</formula>
    </cfRule>
  </conditionalFormatting>
  <conditionalFormatting sqref="L164:L168">
    <cfRule type="cellIs" dxfId="336" priority="88" operator="equal">
      <formula>$R$47</formula>
    </cfRule>
    <cfRule type="cellIs" dxfId="335" priority="89" operator="equal">
      <formula>$R$46</formula>
    </cfRule>
    <cfRule type="cellIs" dxfId="334" priority="90" operator="equal">
      <formula>$R$45</formula>
    </cfRule>
  </conditionalFormatting>
  <conditionalFormatting sqref="L158:L162">
    <cfRule type="cellIs" dxfId="333" priority="91" operator="equal">
      <formula>$R$47</formula>
    </cfRule>
    <cfRule type="cellIs" dxfId="332" priority="92" operator="equal">
      <formula>$R$46</formula>
    </cfRule>
    <cfRule type="cellIs" dxfId="331" priority="93" operator="equal">
      <formula>$R$45</formula>
    </cfRule>
  </conditionalFormatting>
  <conditionalFormatting sqref="L183:L187">
    <cfRule type="cellIs" dxfId="330" priority="82" operator="equal">
      <formula>$R$47</formula>
    </cfRule>
    <cfRule type="cellIs" dxfId="329" priority="83" operator="equal">
      <formula>$R$46</formula>
    </cfRule>
    <cfRule type="cellIs" dxfId="328" priority="84" operator="equal">
      <formula>$R$45</formula>
    </cfRule>
  </conditionalFormatting>
  <conditionalFormatting sqref="L177:L181">
    <cfRule type="cellIs" dxfId="327" priority="85" operator="equal">
      <formula>$R$47</formula>
    </cfRule>
    <cfRule type="cellIs" dxfId="326" priority="86" operator="equal">
      <formula>$R$46</formula>
    </cfRule>
    <cfRule type="cellIs" dxfId="325" priority="87" operator="equal">
      <formula>$R$45</formula>
    </cfRule>
  </conditionalFormatting>
  <conditionalFormatting sqref="I54:K58">
    <cfRule type="cellIs" dxfId="324" priority="81" operator="equal">
      <formula>$R$48</formula>
    </cfRule>
  </conditionalFormatting>
  <conditionalFormatting sqref="I60:K64">
    <cfRule type="cellIs" dxfId="323" priority="62" operator="equal">
      <formula>$R$47</formula>
    </cfRule>
    <cfRule type="cellIs" dxfId="322" priority="63" operator="equal">
      <formula>$R$46</formula>
    </cfRule>
    <cfRule type="cellIs" dxfId="321" priority="64" operator="equal">
      <formula>$R$45</formula>
    </cfRule>
  </conditionalFormatting>
  <conditionalFormatting sqref="I60:K64">
    <cfRule type="cellIs" dxfId="320" priority="61" operator="equal">
      <formula>$R$48</formula>
    </cfRule>
  </conditionalFormatting>
  <conditionalFormatting sqref="I71:K75">
    <cfRule type="cellIs" dxfId="319" priority="58" operator="equal">
      <formula>$R$47</formula>
    </cfRule>
    <cfRule type="cellIs" dxfId="318" priority="59" operator="equal">
      <formula>$R$46</formula>
    </cfRule>
    <cfRule type="cellIs" dxfId="317" priority="60" operator="equal">
      <formula>$R$45</formula>
    </cfRule>
  </conditionalFormatting>
  <conditionalFormatting sqref="I71:K75">
    <cfRule type="cellIs" dxfId="316" priority="57" operator="equal">
      <formula>$R$48</formula>
    </cfRule>
  </conditionalFormatting>
  <conditionalFormatting sqref="I77:K81">
    <cfRule type="cellIs" dxfId="315" priority="54" operator="equal">
      <formula>$R$47</formula>
    </cfRule>
    <cfRule type="cellIs" dxfId="314" priority="55" operator="equal">
      <formula>$R$46</formula>
    </cfRule>
    <cfRule type="cellIs" dxfId="313" priority="56" operator="equal">
      <formula>$R$45</formula>
    </cfRule>
  </conditionalFormatting>
  <conditionalFormatting sqref="I77:K81">
    <cfRule type="cellIs" dxfId="312" priority="53" operator="equal">
      <formula>$R$48</formula>
    </cfRule>
  </conditionalFormatting>
  <conditionalFormatting sqref="I88:K92">
    <cfRule type="cellIs" dxfId="311" priority="50" operator="equal">
      <formula>$R$47</formula>
    </cfRule>
    <cfRule type="cellIs" dxfId="310" priority="51" operator="equal">
      <formula>$R$46</formula>
    </cfRule>
    <cfRule type="cellIs" dxfId="309" priority="52" operator="equal">
      <formula>$R$45</formula>
    </cfRule>
  </conditionalFormatting>
  <conditionalFormatting sqref="I88:K92">
    <cfRule type="cellIs" dxfId="308" priority="49" operator="equal">
      <formula>$R$48</formula>
    </cfRule>
  </conditionalFormatting>
  <conditionalFormatting sqref="I94:K98">
    <cfRule type="cellIs" dxfId="307" priority="46" operator="equal">
      <formula>$R$47</formula>
    </cfRule>
    <cfRule type="cellIs" dxfId="306" priority="47" operator="equal">
      <formula>$R$46</formula>
    </cfRule>
    <cfRule type="cellIs" dxfId="305" priority="48" operator="equal">
      <formula>$R$45</formula>
    </cfRule>
  </conditionalFormatting>
  <conditionalFormatting sqref="I94:K98">
    <cfRule type="cellIs" dxfId="304" priority="45" operator="equal">
      <formula>$R$48</formula>
    </cfRule>
  </conditionalFormatting>
  <conditionalFormatting sqref="I105:K109">
    <cfRule type="cellIs" dxfId="303" priority="42" operator="equal">
      <formula>$R$47</formula>
    </cfRule>
    <cfRule type="cellIs" dxfId="302" priority="43" operator="equal">
      <formula>$R$46</formula>
    </cfRule>
    <cfRule type="cellIs" dxfId="301" priority="44" operator="equal">
      <formula>$R$45</formula>
    </cfRule>
  </conditionalFormatting>
  <conditionalFormatting sqref="I105:K109">
    <cfRule type="cellIs" dxfId="300" priority="41" operator="equal">
      <formula>$R$48</formula>
    </cfRule>
  </conditionalFormatting>
  <conditionalFormatting sqref="I111:K115">
    <cfRule type="cellIs" dxfId="299" priority="38" operator="equal">
      <formula>$R$47</formula>
    </cfRule>
    <cfRule type="cellIs" dxfId="298" priority="39" operator="equal">
      <formula>$R$46</formula>
    </cfRule>
    <cfRule type="cellIs" dxfId="297" priority="40" operator="equal">
      <formula>$R$45</formula>
    </cfRule>
  </conditionalFormatting>
  <conditionalFormatting sqref="I111:K115">
    <cfRule type="cellIs" dxfId="296" priority="37" operator="equal">
      <formula>$R$48</formula>
    </cfRule>
  </conditionalFormatting>
  <conditionalFormatting sqref="I122:K126">
    <cfRule type="cellIs" dxfId="295" priority="34" operator="equal">
      <formula>$R$47</formula>
    </cfRule>
    <cfRule type="cellIs" dxfId="294" priority="35" operator="equal">
      <formula>$R$46</formula>
    </cfRule>
    <cfRule type="cellIs" dxfId="293" priority="36" operator="equal">
      <formula>$R$45</formula>
    </cfRule>
  </conditionalFormatting>
  <conditionalFormatting sqref="I122:K126">
    <cfRule type="cellIs" dxfId="292" priority="33" operator="equal">
      <formula>$R$48</formula>
    </cfRule>
  </conditionalFormatting>
  <conditionalFormatting sqref="I128:K132">
    <cfRule type="cellIs" dxfId="291" priority="30" operator="equal">
      <formula>$R$47</formula>
    </cfRule>
    <cfRule type="cellIs" dxfId="290" priority="31" operator="equal">
      <formula>$R$46</formula>
    </cfRule>
    <cfRule type="cellIs" dxfId="289" priority="32" operator="equal">
      <formula>$R$45</formula>
    </cfRule>
  </conditionalFormatting>
  <conditionalFormatting sqref="I128:K132">
    <cfRule type="cellIs" dxfId="288" priority="29" operator="equal">
      <formula>$R$48</formula>
    </cfRule>
  </conditionalFormatting>
  <conditionalFormatting sqref="I139:K143">
    <cfRule type="cellIs" dxfId="287" priority="26" operator="equal">
      <formula>$R$47</formula>
    </cfRule>
    <cfRule type="cellIs" dxfId="286" priority="27" operator="equal">
      <formula>$R$46</formula>
    </cfRule>
    <cfRule type="cellIs" dxfId="285" priority="28" operator="equal">
      <formula>$R$45</formula>
    </cfRule>
  </conditionalFormatting>
  <conditionalFormatting sqref="I139:K143">
    <cfRule type="cellIs" dxfId="284" priority="25" operator="equal">
      <formula>$R$48</formula>
    </cfRule>
  </conditionalFormatting>
  <conditionalFormatting sqref="I145:K149">
    <cfRule type="cellIs" dxfId="283" priority="22" operator="equal">
      <formula>$R$47</formula>
    </cfRule>
    <cfRule type="cellIs" dxfId="282" priority="23" operator="equal">
      <formula>$R$46</formula>
    </cfRule>
    <cfRule type="cellIs" dxfId="281" priority="24" operator="equal">
      <formula>$R$45</formula>
    </cfRule>
  </conditionalFormatting>
  <conditionalFormatting sqref="I145:K149">
    <cfRule type="cellIs" dxfId="280" priority="21" operator="equal">
      <formula>$R$48</formula>
    </cfRule>
  </conditionalFormatting>
  <conditionalFormatting sqref="I158:K162">
    <cfRule type="cellIs" dxfId="279" priority="18" operator="equal">
      <formula>$R$47</formula>
    </cfRule>
    <cfRule type="cellIs" dxfId="278" priority="19" operator="equal">
      <formula>$R$46</formula>
    </cfRule>
    <cfRule type="cellIs" dxfId="277" priority="20" operator="equal">
      <formula>$R$45</formula>
    </cfRule>
  </conditionalFormatting>
  <conditionalFormatting sqref="I158:K162">
    <cfRule type="cellIs" dxfId="276" priority="17" operator="equal">
      <formula>$R$48</formula>
    </cfRule>
  </conditionalFormatting>
  <conditionalFormatting sqref="I164:K168">
    <cfRule type="cellIs" dxfId="275" priority="14" operator="equal">
      <formula>$R$47</formula>
    </cfRule>
    <cfRule type="cellIs" dxfId="274" priority="15" operator="equal">
      <formula>$R$46</formula>
    </cfRule>
    <cfRule type="cellIs" dxfId="273" priority="16" operator="equal">
      <formula>$R$45</formula>
    </cfRule>
  </conditionalFormatting>
  <conditionalFormatting sqref="I164:K168">
    <cfRule type="cellIs" dxfId="272" priority="13" operator="equal">
      <formula>$R$48</formula>
    </cfRule>
  </conditionalFormatting>
  <conditionalFormatting sqref="I177:K181">
    <cfRule type="cellIs" dxfId="271" priority="10" operator="equal">
      <formula>$R$47</formula>
    </cfRule>
    <cfRule type="cellIs" dxfId="270" priority="11" operator="equal">
      <formula>$R$46</formula>
    </cfRule>
    <cfRule type="cellIs" dxfId="269" priority="12" operator="equal">
      <formula>$R$45</formula>
    </cfRule>
  </conditionalFormatting>
  <conditionalFormatting sqref="I177:K181">
    <cfRule type="cellIs" dxfId="268" priority="9" operator="equal">
      <formula>$R$48</formula>
    </cfRule>
  </conditionalFormatting>
  <conditionalFormatting sqref="I183:K187">
    <cfRule type="cellIs" dxfId="267" priority="6" operator="equal">
      <formula>$R$47</formula>
    </cfRule>
    <cfRule type="cellIs" dxfId="266" priority="7" operator="equal">
      <formula>$R$46</formula>
    </cfRule>
    <cfRule type="cellIs" dxfId="265" priority="8" operator="equal">
      <formula>$R$45</formula>
    </cfRule>
  </conditionalFormatting>
  <conditionalFormatting sqref="I183:K187">
    <cfRule type="cellIs" dxfId="264" priority="5" operator="equal">
      <formula>$R$48</formula>
    </cfRule>
  </conditionalFormatting>
  <conditionalFormatting sqref="H33">
    <cfRule type="cellIs" dxfId="263" priority="1" operator="greaterThanOrEqual">
      <formula>100%</formula>
    </cfRule>
    <cfRule type="cellIs" dxfId="262" priority="2" operator="greaterThan">
      <formula>90.1%</formula>
    </cfRule>
    <cfRule type="cellIs" dxfId="261" priority="3" operator="between">
      <formula>75.1%</formula>
      <formula>90%</formula>
    </cfRule>
    <cfRule type="cellIs" dxfId="260" priority="4" operator="lessThanOrEqual">
      <formula>75%</formula>
    </cfRule>
  </conditionalFormatting>
  <dataValidations count="3">
    <dataValidation type="list" allowBlank="1" showInputMessage="1" showErrorMessage="1" errorTitle="Please select from the list" sqref="F15">
      <formula1>$AC$201:$AC$222</formula1>
    </dataValidation>
    <dataValidation type="list" allowBlank="1" showInputMessage="1" showErrorMessage="1" errorTitle="Please select from the list" sqref="F27:G27">
      <formula1>$AA$201:$AA$238</formula1>
    </dataValidation>
    <dataValidation type="list" allowBlank="1" showInputMessage="1" showErrorMessage="1" error="Please choose from the list provided.  If your material thickness exceed 1/8&quot; consult Applications Engineering at (800) 448-6688." sqref="F7">
      <formula1>$R$28:$R$32</formula1>
    </dataValidation>
  </dataValidations>
  <printOptions horizontalCentered="1"/>
  <pageMargins left="0.25" right="0.25" top="1" bottom="1" header="0.5" footer="0.5"/>
  <pageSetup scale="56" fitToHeight="3" orientation="portrait" r:id="rId1"/>
  <headerFooter alignWithMargins="0">
    <oddHeader>&amp;CGarlock Sealing Technologies
1666 Division Street
Palmyra, NY  14522
(800) 448-6688</oddHeader>
    <oddFooter>&amp;A</oddFooter>
  </headerFooter>
  <rowBreaks count="1" manualBreakCount="1">
    <brk id="66" max="12"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AN277"/>
  <sheetViews>
    <sheetView showGridLines="0" showRowColHeaders="0" zoomScale="85" zoomScaleNormal="85" workbookViewId="0">
      <pane ySplit="4" topLeftCell="A5" activePane="bottomLeft" state="frozen"/>
      <selection pane="bottomLeft" activeCell="F7" sqref="F7"/>
    </sheetView>
  </sheetViews>
  <sheetFormatPr defaultColWidth="0" defaultRowHeight="13.2" zeroHeight="1" x14ac:dyDescent="0.25"/>
  <cols>
    <col min="1" max="1" width="9.109375" style="7" customWidth="1"/>
    <col min="2" max="2" width="24.109375" style="7" customWidth="1"/>
    <col min="3" max="3" width="15.6640625" style="7" customWidth="1"/>
    <col min="4" max="4" width="12.6640625" style="7" customWidth="1"/>
    <col min="5" max="5" width="3.6640625" style="7" customWidth="1"/>
    <col min="6" max="6" width="16.88671875" style="7" customWidth="1"/>
    <col min="7" max="7" width="15.6640625" style="7" customWidth="1"/>
    <col min="8" max="9" width="7.77734375" style="7" customWidth="1"/>
    <col min="10" max="11" width="15.6640625" style="7" customWidth="1"/>
    <col min="12" max="12" width="8.44140625" style="7" customWidth="1"/>
    <col min="13" max="13" width="5.21875" style="7" customWidth="1"/>
    <col min="14" max="17" width="9.109375" style="7" hidden="1" customWidth="1"/>
    <col min="18" max="18" width="11.21875" style="7" hidden="1" customWidth="1"/>
    <col min="19" max="16384" width="9.109375" style="7" hidden="1"/>
  </cols>
  <sheetData>
    <row r="1" spans="1:19" ht="108" customHeight="1" x14ac:dyDescent="0.25"/>
    <row r="2" spans="1:19" ht="28.2" customHeight="1" x14ac:dyDescent="0.25"/>
    <row r="3" spans="1:19" ht="27" customHeight="1" x14ac:dyDescent="0.25">
      <c r="B3" s="467" t="s">
        <v>17</v>
      </c>
      <c r="C3" s="468"/>
      <c r="D3" s="468"/>
      <c r="E3" s="468"/>
      <c r="F3" s="468"/>
      <c r="G3" s="468"/>
      <c r="H3" s="468"/>
      <c r="I3" s="468"/>
      <c r="J3" s="468"/>
      <c r="K3" s="468"/>
      <c r="L3" s="469"/>
    </row>
    <row r="4" spans="1:19" ht="24" customHeight="1" x14ac:dyDescent="0.25">
      <c r="A4" s="70"/>
      <c r="B4" s="238"/>
      <c r="C4" s="249"/>
      <c r="D4" s="250"/>
      <c r="E4" s="250"/>
      <c r="F4" s="250"/>
      <c r="G4" s="250"/>
      <c r="H4" s="250"/>
      <c r="I4" s="250"/>
      <c r="J4" s="250"/>
      <c r="K4" s="238"/>
    </row>
    <row r="5" spans="1:19" ht="17.399999999999999" x14ac:dyDescent="0.3">
      <c r="B5" s="29"/>
      <c r="C5" s="251"/>
      <c r="D5" s="251"/>
      <c r="E5" s="251"/>
      <c r="F5" s="252" t="s">
        <v>415</v>
      </c>
      <c r="G5" s="251"/>
      <c r="H5" s="251"/>
      <c r="I5" s="251"/>
      <c r="J5" s="251"/>
      <c r="Q5" s="51"/>
    </row>
    <row r="6" spans="1:19" ht="21.6" thickBot="1" x14ac:dyDescent="0.35">
      <c r="B6" s="29"/>
      <c r="C6" s="29"/>
      <c r="D6" s="22" t="s">
        <v>320</v>
      </c>
      <c r="E6" s="9"/>
      <c r="F6" s="9"/>
      <c r="G6" s="9"/>
      <c r="H6" s="9"/>
      <c r="I6" s="9"/>
      <c r="J6" s="453" t="s">
        <v>387</v>
      </c>
      <c r="K6" s="453"/>
      <c r="L6" s="453"/>
      <c r="M6" s="453"/>
    </row>
    <row r="7" spans="1:19" ht="18" thickBot="1" x14ac:dyDescent="0.3">
      <c r="B7" s="29"/>
      <c r="C7" s="29"/>
      <c r="D7" s="40" t="s">
        <v>344</v>
      </c>
      <c r="E7" s="63"/>
      <c r="F7" s="360"/>
      <c r="G7" s="23" t="s">
        <v>321</v>
      </c>
      <c r="H7" s="8"/>
      <c r="I7" s="8"/>
      <c r="J7" s="236"/>
      <c r="K7" s="236"/>
      <c r="L7" s="236"/>
      <c r="M7" s="236"/>
    </row>
    <row r="8" spans="1:19" ht="17.25" customHeight="1" x14ac:dyDescent="0.25">
      <c r="B8" s="29"/>
      <c r="C8" s="29"/>
      <c r="D8" s="29"/>
      <c r="E8" s="29"/>
      <c r="F8" s="29"/>
      <c r="G8" s="29"/>
      <c r="H8" s="29"/>
      <c r="I8" s="29"/>
    </row>
    <row r="9" spans="1:19" ht="21" x14ac:dyDescent="0.25">
      <c r="B9" s="115"/>
      <c r="D9" s="10" t="s">
        <v>1</v>
      </c>
      <c r="E9" s="11"/>
      <c r="F9" s="11"/>
      <c r="G9" s="11"/>
      <c r="H9" s="2"/>
      <c r="I9" s="2"/>
    </row>
    <row r="10" spans="1:19" ht="6.9" customHeight="1" thickBot="1" x14ac:dyDescent="0.3">
      <c r="B10" s="115"/>
      <c r="D10" s="15"/>
      <c r="E10" s="13"/>
      <c r="F10" s="13"/>
      <c r="G10" s="13"/>
      <c r="H10" s="2"/>
      <c r="I10" s="2"/>
    </row>
    <row r="11" spans="1:19" ht="18" thickBot="1" x14ac:dyDescent="0.3">
      <c r="B11" s="115"/>
      <c r="D11" s="40" t="s">
        <v>339</v>
      </c>
      <c r="F11" s="346"/>
      <c r="G11" s="13" t="s">
        <v>3</v>
      </c>
      <c r="H11" s="13"/>
      <c r="I11" s="13"/>
      <c r="M11" s="351"/>
    </row>
    <row r="12" spans="1:19" ht="3.9" customHeight="1" thickBot="1" x14ac:dyDescent="0.3">
      <c r="B12" s="115"/>
      <c r="D12" s="15"/>
      <c r="F12" s="13" t="s">
        <v>4</v>
      </c>
      <c r="G12" s="13"/>
      <c r="H12" s="13"/>
      <c r="I12" s="13"/>
      <c r="M12" s="351"/>
    </row>
    <row r="13" spans="1:19" ht="18" thickBot="1" x14ac:dyDescent="0.3">
      <c r="B13" s="115"/>
      <c r="D13" s="40" t="s">
        <v>340</v>
      </c>
      <c r="F13" s="346"/>
      <c r="G13" s="13" t="s">
        <v>3</v>
      </c>
      <c r="H13" s="13"/>
      <c r="I13" s="13"/>
      <c r="M13" s="351"/>
    </row>
    <row r="14" spans="1:19" ht="3.9" customHeight="1" thickBot="1" x14ac:dyDescent="0.3">
      <c r="D14" s="18"/>
      <c r="F14" s="2"/>
      <c r="G14" s="2"/>
      <c r="H14" s="13"/>
      <c r="I14" s="13"/>
      <c r="M14" s="351"/>
    </row>
    <row r="15" spans="1:19" ht="18" thickBot="1" x14ac:dyDescent="0.35">
      <c r="D15" s="108" t="s">
        <v>336</v>
      </c>
      <c r="F15" s="345"/>
      <c r="G15" s="14" t="s">
        <v>3</v>
      </c>
      <c r="H15" s="16" t="s">
        <v>4</v>
      </c>
      <c r="I15" s="16"/>
      <c r="M15" s="351"/>
      <c r="R15" s="64" t="s">
        <v>427</v>
      </c>
      <c r="S15" s="64" t="s">
        <v>428</v>
      </c>
    </row>
    <row r="16" spans="1:19" ht="3.9" customHeight="1" thickBot="1" x14ac:dyDescent="0.3">
      <c r="D16" s="15"/>
      <c r="F16" s="19"/>
      <c r="G16" s="13"/>
      <c r="H16" s="13"/>
      <c r="I16" s="13"/>
      <c r="J16" s="352"/>
      <c r="K16" s="352"/>
      <c r="L16" s="352"/>
      <c r="R16" s="64"/>
      <c r="S16" s="64"/>
    </row>
    <row r="17" spans="2:19" ht="18" thickBot="1" x14ac:dyDescent="0.3">
      <c r="D17" s="40" t="s">
        <v>345</v>
      </c>
      <c r="F17" s="346"/>
      <c r="G17" s="13" t="s">
        <v>3</v>
      </c>
      <c r="H17" s="473" t="b">
        <f>AND(F17&gt;F11,F17&lt;F13)</f>
        <v>0</v>
      </c>
      <c r="I17" s="474"/>
      <c r="J17" s="353"/>
      <c r="K17" s="353"/>
      <c r="L17" s="353"/>
      <c r="M17" s="101"/>
      <c r="Q17" s="7" t="b">
        <v>1</v>
      </c>
      <c r="R17" s="64" t="b">
        <f>(F19&lt;((F13-F11)/2))</f>
        <v>0</v>
      </c>
      <c r="S17" s="64" t="b">
        <f>(F15&lt;F19)</f>
        <v>0</v>
      </c>
    </row>
    <row r="18" spans="2:19" ht="3.9" customHeight="1" thickBot="1" x14ac:dyDescent="0.3">
      <c r="D18" s="15"/>
      <c r="F18" s="13" t="s">
        <v>4</v>
      </c>
      <c r="G18" s="13"/>
      <c r="H18" s="13"/>
      <c r="I18" s="13"/>
      <c r="J18" s="353"/>
      <c r="K18" s="353"/>
      <c r="L18" s="353"/>
      <c r="M18" s="101"/>
    </row>
    <row r="19" spans="2:19" ht="18" thickBot="1" x14ac:dyDescent="0.3">
      <c r="D19" s="40" t="s">
        <v>346</v>
      </c>
      <c r="F19" s="346"/>
      <c r="G19" s="13" t="s">
        <v>3</v>
      </c>
      <c r="H19" s="475" t="b">
        <f>AND(R17=Q17,S17=Q17)</f>
        <v>0</v>
      </c>
      <c r="I19" s="476"/>
      <c r="J19" s="353"/>
      <c r="K19" s="353"/>
      <c r="L19" s="353"/>
      <c r="M19" s="101"/>
      <c r="Q19" s="7" t="b">
        <v>0</v>
      </c>
    </row>
    <row r="20" spans="2:19" ht="3.9" customHeight="1" thickBot="1" x14ac:dyDescent="0.3">
      <c r="D20" s="15"/>
      <c r="F20" s="13">
        <v>3</v>
      </c>
      <c r="G20" s="13"/>
      <c r="H20" s="13"/>
      <c r="I20" s="13"/>
      <c r="J20" s="354"/>
      <c r="K20" s="354"/>
      <c r="L20" s="354"/>
      <c r="M20" s="101"/>
    </row>
    <row r="21" spans="2:19" ht="18" thickBot="1" x14ac:dyDescent="0.3">
      <c r="D21" s="40" t="s">
        <v>338</v>
      </c>
      <c r="F21" s="346"/>
      <c r="G21" s="13"/>
      <c r="H21" s="475" t="e">
        <f>(F21&lt;((3.141592654*F17)/F19/2))</f>
        <v>#DIV/0!</v>
      </c>
      <c r="I21" s="476"/>
      <c r="J21" s="354"/>
      <c r="K21" s="354"/>
      <c r="L21" s="354"/>
      <c r="M21" s="101"/>
    </row>
    <row r="22" spans="2:19" ht="3.9" customHeight="1" thickBot="1" x14ac:dyDescent="0.3">
      <c r="D22" s="15"/>
      <c r="F22" s="13" t="s">
        <v>4</v>
      </c>
      <c r="G22" s="13"/>
      <c r="H22" s="13"/>
      <c r="I22" s="13"/>
      <c r="J22" s="101"/>
      <c r="K22" s="101"/>
      <c r="L22" s="101"/>
      <c r="M22" s="101"/>
    </row>
    <row r="23" spans="2:19" ht="18" thickBot="1" x14ac:dyDescent="0.35">
      <c r="D23" s="20" t="s">
        <v>6</v>
      </c>
      <c r="F23" s="107">
        <f>((F13^2)-(F11^2)-(F19^2*F21))*3.141592654/4</f>
        <v>0</v>
      </c>
      <c r="G23" s="13" t="s">
        <v>7</v>
      </c>
      <c r="H23" s="13"/>
      <c r="I23" s="13"/>
      <c r="J23" s="229"/>
      <c r="K23" s="101"/>
      <c r="L23" s="101"/>
      <c r="M23" s="101"/>
    </row>
    <row r="24" spans="2:19" ht="17.399999999999999" x14ac:dyDescent="0.25">
      <c r="B24" s="30"/>
      <c r="D24" s="13"/>
      <c r="E24" s="31"/>
      <c r="F24" s="13"/>
      <c r="G24" s="13"/>
      <c r="H24" s="2"/>
      <c r="I24" s="2"/>
      <c r="K24" s="101"/>
      <c r="L24" s="101"/>
      <c r="M24" s="101"/>
    </row>
    <row r="25" spans="2:19" ht="21.6" thickBot="1" x14ac:dyDescent="0.45">
      <c r="B25" s="30"/>
      <c r="D25" s="21" t="s">
        <v>289</v>
      </c>
      <c r="E25" s="2"/>
      <c r="F25" s="2"/>
      <c r="G25" s="2"/>
      <c r="H25" s="2"/>
      <c r="I25" s="2"/>
      <c r="K25" s="101"/>
      <c r="L25" s="101"/>
      <c r="M25" s="101"/>
    </row>
    <row r="26" spans="2:19" ht="18" thickBot="1" x14ac:dyDescent="0.35">
      <c r="D26" s="108" t="s">
        <v>341</v>
      </c>
      <c r="E26" s="2"/>
      <c r="F26" s="361"/>
      <c r="G26" s="14" t="s">
        <v>290</v>
      </c>
      <c r="H26" s="229"/>
      <c r="I26" s="229"/>
      <c r="J26" s="229"/>
      <c r="K26" s="101"/>
      <c r="L26" s="101"/>
      <c r="M26" s="101"/>
      <c r="P26" s="126" t="s">
        <v>378</v>
      </c>
      <c r="S26" s="7" t="e">
        <f>(0.7853981634*(F11^2))*F26/F44</f>
        <v>#DIV/0!</v>
      </c>
    </row>
    <row r="27" spans="2:19" ht="17.399999999999999" x14ac:dyDescent="0.25">
      <c r="B27" s="30"/>
      <c r="D27" s="13"/>
      <c r="E27" s="31"/>
      <c r="F27" s="13"/>
      <c r="G27" s="13"/>
      <c r="H27" s="2"/>
      <c r="I27" s="2"/>
      <c r="K27" s="101"/>
      <c r="L27" s="101"/>
      <c r="M27" s="101"/>
    </row>
    <row r="28" spans="2:19" ht="21" x14ac:dyDescent="0.4">
      <c r="D28" s="21" t="s">
        <v>81</v>
      </c>
      <c r="E28" s="2"/>
      <c r="F28" s="2"/>
      <c r="G28" s="2"/>
      <c r="H28" s="2"/>
      <c r="I28" s="2"/>
      <c r="K28" s="101"/>
      <c r="L28" s="101"/>
      <c r="M28" s="101"/>
    </row>
    <row r="29" spans="2:19" ht="6.75" customHeight="1" thickBot="1" x14ac:dyDescent="0.45">
      <c r="D29" s="21"/>
      <c r="E29" s="2"/>
      <c r="F29" s="2"/>
      <c r="G29" s="2"/>
      <c r="H29" s="2"/>
      <c r="I29" s="2"/>
      <c r="J29" s="364"/>
      <c r="K29" s="364"/>
      <c r="L29" s="364"/>
      <c r="M29" s="364"/>
    </row>
    <row r="30" spans="2:19" ht="18" thickBot="1" x14ac:dyDescent="0.35">
      <c r="D30" s="108" t="s">
        <v>337</v>
      </c>
      <c r="E30" s="2"/>
      <c r="F30" s="436"/>
      <c r="G30" s="437"/>
      <c r="H30" s="2"/>
      <c r="I30" s="2"/>
      <c r="J30" s="364"/>
      <c r="K30" s="364"/>
      <c r="L30" s="364"/>
      <c r="M30" s="364"/>
      <c r="Q30" s="64" t="s">
        <v>322</v>
      </c>
    </row>
    <row r="31" spans="2:19" ht="3.9" customHeight="1" thickBot="1" x14ac:dyDescent="0.45">
      <c r="D31" s="21"/>
      <c r="E31" s="2"/>
      <c r="F31" s="2"/>
      <c r="G31" s="14"/>
      <c r="H31" s="2"/>
      <c r="I31" s="2"/>
      <c r="J31" s="364"/>
      <c r="K31" s="364"/>
      <c r="L31" s="364"/>
      <c r="M31" s="364"/>
      <c r="Q31" s="65">
        <v>1.5625E-2</v>
      </c>
    </row>
    <row r="32" spans="2:19" ht="18" thickBot="1" x14ac:dyDescent="0.35">
      <c r="D32" s="17" t="s">
        <v>83</v>
      </c>
      <c r="E32" s="2"/>
      <c r="F32" s="106" t="e">
        <f>LOOKUP(F15,AC239:AC260,AD239:AD259)</f>
        <v>#N/A</v>
      </c>
      <c r="G32" s="14" t="s">
        <v>19</v>
      </c>
      <c r="H32" s="2"/>
      <c r="I32" s="2"/>
      <c r="J32" s="364"/>
      <c r="K32" s="364"/>
      <c r="L32" s="364"/>
      <c r="M32" s="364"/>
      <c r="Q32" s="65">
        <v>3.125E-2</v>
      </c>
    </row>
    <row r="33" spans="2:17" ht="3" customHeight="1" x14ac:dyDescent="0.25">
      <c r="B33" s="30"/>
      <c r="D33" s="13"/>
      <c r="E33" s="31"/>
      <c r="F33" s="13"/>
      <c r="G33" s="13"/>
      <c r="H33" s="2"/>
      <c r="I33" s="2"/>
      <c r="J33" s="364"/>
      <c r="K33" s="364"/>
      <c r="L33" s="364"/>
      <c r="M33" s="364"/>
      <c r="Q33" s="65">
        <v>6.2E-2</v>
      </c>
    </row>
    <row r="34" spans="2:17" ht="3" customHeight="1" x14ac:dyDescent="0.25">
      <c r="B34" s="30"/>
      <c r="D34" s="13"/>
      <c r="E34" s="31"/>
      <c r="F34" s="13"/>
      <c r="G34" s="13"/>
      <c r="H34" s="2"/>
      <c r="I34" s="2"/>
      <c r="J34" s="364"/>
      <c r="K34" s="364"/>
      <c r="L34" s="364"/>
      <c r="M34" s="364"/>
      <c r="Q34" s="7" t="s">
        <v>438</v>
      </c>
    </row>
    <row r="35" spans="2:17" ht="15" customHeight="1" x14ac:dyDescent="0.25">
      <c r="B35" s="13"/>
      <c r="D35" s="13"/>
      <c r="E35" s="13"/>
      <c r="F35" s="13"/>
      <c r="G35" s="13"/>
      <c r="H35" s="2"/>
      <c r="I35" s="2"/>
      <c r="J35" s="364"/>
      <c r="K35" s="364"/>
      <c r="L35" s="364"/>
      <c r="M35" s="364"/>
      <c r="Q35" s="65">
        <v>0.125</v>
      </c>
    </row>
    <row r="36" spans="2:17" ht="21" x14ac:dyDescent="0.25">
      <c r="D36" s="22" t="s">
        <v>8</v>
      </c>
      <c r="E36" s="13"/>
      <c r="F36" s="13"/>
      <c r="G36" s="13"/>
      <c r="H36" s="2"/>
      <c r="I36" s="2"/>
      <c r="J36" s="364"/>
      <c r="K36" s="364"/>
      <c r="L36" s="364"/>
      <c r="M36" s="364"/>
    </row>
    <row r="37" spans="2:17" ht="6.9" customHeight="1" thickBot="1" x14ac:dyDescent="0.3">
      <c r="D37" s="15"/>
      <c r="E37" s="13"/>
      <c r="F37" s="13"/>
      <c r="G37" s="13"/>
      <c r="H37" s="2"/>
      <c r="I37" s="2"/>
      <c r="J37" s="364"/>
      <c r="K37" s="364"/>
      <c r="L37" s="364"/>
      <c r="M37" s="364"/>
    </row>
    <row r="38" spans="2:17" ht="18" thickBot="1" x14ac:dyDescent="0.35">
      <c r="D38" s="108" t="s">
        <v>342</v>
      </c>
      <c r="F38" s="365"/>
      <c r="G38" s="14" t="s">
        <v>19</v>
      </c>
      <c r="H38" s="276" t="e">
        <f>(F38/F32)</f>
        <v>#N/A</v>
      </c>
      <c r="I38" s="448" t="s">
        <v>429</v>
      </c>
      <c r="J38" s="448"/>
      <c r="K38" s="448"/>
      <c r="L38" s="364"/>
      <c r="M38" s="364"/>
    </row>
    <row r="39" spans="2:17" ht="3.9" customHeight="1" thickBot="1" x14ac:dyDescent="0.3">
      <c r="D39" s="18"/>
      <c r="F39" s="2"/>
      <c r="G39" s="2"/>
      <c r="H39" s="277"/>
      <c r="I39" s="356"/>
      <c r="J39" s="356"/>
      <c r="K39" s="278"/>
      <c r="L39" s="364"/>
      <c r="M39" s="364"/>
    </row>
    <row r="40" spans="2:17" ht="18" thickBot="1" x14ac:dyDescent="0.3">
      <c r="D40" s="15" t="s">
        <v>10</v>
      </c>
      <c r="F40" s="107" t="e">
        <f>(LOOKUP(F15,'BOLT TABLE'!B9:B30,'BOLT TABLE'!C9:C30)*F38)</f>
        <v>#N/A</v>
      </c>
      <c r="G40" s="23" t="s">
        <v>11</v>
      </c>
      <c r="H40" s="279" t="e">
        <f>VLOOKUP(F15,'BOLT TABLE'!$B$9:$D$30,3)</f>
        <v>#N/A</v>
      </c>
      <c r="I40" s="277" t="s">
        <v>431</v>
      </c>
      <c r="J40" s="356"/>
      <c r="K40" s="278"/>
      <c r="L40" s="364"/>
      <c r="M40" s="364"/>
    </row>
    <row r="41" spans="2:17" ht="3.9" customHeight="1" thickBot="1" x14ac:dyDescent="0.3">
      <c r="D41" s="15"/>
      <c r="F41" s="13" t="s">
        <v>4</v>
      </c>
      <c r="G41" s="13" t="s">
        <v>4</v>
      </c>
      <c r="H41" s="2"/>
      <c r="I41" s="2"/>
      <c r="J41" s="364"/>
      <c r="K41" s="364"/>
      <c r="L41" s="364"/>
      <c r="M41" s="364"/>
    </row>
    <row r="42" spans="2:17" ht="18" thickBot="1" x14ac:dyDescent="0.3">
      <c r="D42" s="15" t="s">
        <v>12</v>
      </c>
      <c r="F42" s="110">
        <f>(F21)</f>
        <v>0</v>
      </c>
      <c r="G42" s="13"/>
      <c r="H42" s="363"/>
      <c r="I42" s="290" t="s">
        <v>448</v>
      </c>
      <c r="O42" s="280" t="e">
        <f>IF(H42=0,H40,IF(H42&gt;0,H42))</f>
        <v>#N/A</v>
      </c>
      <c r="P42" s="126" t="s">
        <v>432</v>
      </c>
    </row>
    <row r="43" spans="2:17" ht="3.9" customHeight="1" thickBot="1" x14ac:dyDescent="0.3">
      <c r="D43" s="15"/>
      <c r="F43" s="13"/>
      <c r="G43" s="13"/>
      <c r="H43" s="2"/>
      <c r="I43" s="2"/>
    </row>
    <row r="44" spans="2:17" ht="18" thickBot="1" x14ac:dyDescent="0.3">
      <c r="D44" s="15" t="s">
        <v>1</v>
      </c>
      <c r="F44" s="111">
        <f>(F23)</f>
        <v>0</v>
      </c>
      <c r="G44" s="13" t="s">
        <v>13</v>
      </c>
      <c r="H44" s="2"/>
      <c r="I44" s="2"/>
    </row>
    <row r="45" spans="2:17" ht="3.9" customHeight="1" thickBot="1" x14ac:dyDescent="0.3">
      <c r="D45" s="15"/>
      <c r="F45" s="13"/>
      <c r="G45" s="13"/>
      <c r="H45" s="2"/>
      <c r="I45" s="2"/>
    </row>
    <row r="46" spans="2:17" ht="18" thickBot="1" x14ac:dyDescent="0.3">
      <c r="D46" s="20" t="s">
        <v>14</v>
      </c>
      <c r="F46" s="111" t="e">
        <f>(F40*F42/F44)</f>
        <v>#N/A</v>
      </c>
      <c r="G46" s="23" t="s">
        <v>430</v>
      </c>
      <c r="H46" s="2"/>
      <c r="I46" s="2"/>
    </row>
    <row r="47" spans="2:17" ht="3.9" customHeight="1" thickBot="1" x14ac:dyDescent="0.3">
      <c r="D47" s="15"/>
      <c r="F47" s="13"/>
      <c r="G47" s="13"/>
      <c r="H47" s="2"/>
      <c r="I47" s="2"/>
    </row>
    <row r="48" spans="2:17" ht="18" thickBot="1" x14ac:dyDescent="0.35">
      <c r="D48" s="24" t="s">
        <v>15</v>
      </c>
      <c r="F48" s="106" t="e">
        <f>(O42*F40*F15/12)</f>
        <v>#N/A</v>
      </c>
      <c r="G48" s="14" t="s">
        <v>16</v>
      </c>
      <c r="H48" s="2"/>
      <c r="I48" s="2"/>
    </row>
    <row r="49" spans="2:40" x14ac:dyDescent="0.25">
      <c r="B49" s="2"/>
      <c r="C49" s="2"/>
      <c r="D49" s="2"/>
      <c r="E49" s="2"/>
      <c r="F49" s="2"/>
      <c r="G49" s="2"/>
      <c r="H49" s="2"/>
      <c r="I49" s="2"/>
    </row>
    <row r="50" spans="2:40" ht="16.2" thickBot="1" x14ac:dyDescent="0.3">
      <c r="B50" s="2"/>
      <c r="C50" s="116"/>
      <c r="D50" s="116"/>
      <c r="E50" s="116"/>
      <c r="F50" s="116"/>
      <c r="G50" s="116"/>
      <c r="H50" s="2"/>
      <c r="I50" s="2"/>
    </row>
    <row r="51" spans="2:40" ht="13.8" customHeight="1" thickTop="1" x14ac:dyDescent="0.25">
      <c r="B51" s="454" t="s">
        <v>402</v>
      </c>
      <c r="C51" s="455"/>
      <c r="D51" s="455"/>
      <c r="E51" s="455"/>
      <c r="F51" s="455"/>
      <c r="G51" s="455"/>
      <c r="H51" s="455"/>
      <c r="I51" s="455"/>
      <c r="J51" s="455"/>
      <c r="K51" s="455"/>
      <c r="L51" s="456"/>
      <c r="R51" s="126" t="s">
        <v>388</v>
      </c>
    </row>
    <row r="52" spans="2:40" ht="13.2" customHeight="1" x14ac:dyDescent="0.25">
      <c r="B52" s="457"/>
      <c r="C52" s="458"/>
      <c r="D52" s="458"/>
      <c r="E52" s="458"/>
      <c r="F52" s="458"/>
      <c r="G52" s="458"/>
      <c r="H52" s="458"/>
      <c r="I52" s="458"/>
      <c r="J52" s="458"/>
      <c r="K52" s="458"/>
      <c r="L52" s="459"/>
      <c r="R52" s="126" t="s">
        <v>397</v>
      </c>
    </row>
    <row r="53" spans="2:40" ht="13.8" customHeight="1" thickBot="1" x14ac:dyDescent="0.3">
      <c r="B53" s="460"/>
      <c r="C53" s="461"/>
      <c r="D53" s="461"/>
      <c r="E53" s="461"/>
      <c r="F53" s="461"/>
      <c r="G53" s="461"/>
      <c r="H53" s="461"/>
      <c r="I53" s="461"/>
      <c r="J53" s="461"/>
      <c r="K53" s="461"/>
      <c r="L53" s="462"/>
      <c r="R53" s="126" t="s">
        <v>398</v>
      </c>
    </row>
    <row r="54" spans="2:40" ht="18" thickTop="1" x14ac:dyDescent="0.3">
      <c r="B54" s="83"/>
      <c r="C54" s="33"/>
      <c r="D54" s="33"/>
      <c r="E54" s="82"/>
      <c r="F54" s="83"/>
      <c r="G54" s="83"/>
      <c r="H54" s="82"/>
      <c r="I54" s="82"/>
      <c r="J54" s="82"/>
      <c r="K54" s="82"/>
      <c r="L54" s="82"/>
      <c r="R54" s="126" t="s">
        <v>399</v>
      </c>
    </row>
    <row r="55" spans="2:40" ht="18" thickBot="1" x14ac:dyDescent="0.35">
      <c r="B55" s="25"/>
      <c r="C55" s="2"/>
      <c r="D55" s="2"/>
      <c r="E55" s="14"/>
      <c r="F55" s="2"/>
      <c r="G55" s="2"/>
      <c r="H55" s="2"/>
      <c r="I55" s="2"/>
    </row>
    <row r="56" spans="2:40" ht="45.6" customHeight="1" thickTop="1" x14ac:dyDescent="0.25">
      <c r="B56" s="465" t="s">
        <v>443</v>
      </c>
      <c r="C56" s="466"/>
      <c r="D56" s="466"/>
      <c r="E56" s="466"/>
      <c r="F56" s="466"/>
      <c r="G56" s="466"/>
      <c r="H56" s="463" t="e">
        <f>IF(F60&gt;15000,U56," ")</f>
        <v>#N/A</v>
      </c>
      <c r="I56" s="463"/>
      <c r="J56" s="463"/>
      <c r="K56" s="463"/>
      <c r="L56" s="464"/>
      <c r="M56" s="170"/>
      <c r="N56" s="167"/>
      <c r="R56" s="65">
        <v>1.5625E-2</v>
      </c>
      <c r="S56" s="7">
        <f>IF($F$26&lt;=300,2500,IF($F$26&lt;=800,4800,IF($F$26&lt;=2000,7400)))</f>
        <v>2500</v>
      </c>
      <c r="T56" s="128">
        <f>+IF($F$11&lt;24,S56,S56+$S$26)</f>
        <v>2500</v>
      </c>
      <c r="U56" s="7" t="s">
        <v>326</v>
      </c>
      <c r="AN56" s="287"/>
    </row>
    <row r="57" spans="2:40" ht="18" thickBot="1" x14ac:dyDescent="0.3">
      <c r="B57" s="443" t="str">
        <f>IF($F$26&gt;2000,"MOST STYLES ARE NOT RECOMMENDED FOR THE GIVEN PRESSURE"," ")</f>
        <v xml:space="preserve"> </v>
      </c>
      <c r="C57" s="444"/>
      <c r="D57" s="444"/>
      <c r="E57" s="444"/>
      <c r="F57" s="444"/>
      <c r="G57" s="444"/>
      <c r="H57" s="444" t="str">
        <f>IF($F$7=$Q$34,"THICKNESS APPLIES TO GYLON EPIX ONLY"," ")</f>
        <v xml:space="preserve"> </v>
      </c>
      <c r="I57" s="444"/>
      <c r="J57" s="444"/>
      <c r="K57" s="444"/>
      <c r="L57" s="449"/>
      <c r="M57" s="171"/>
      <c r="N57" s="164"/>
      <c r="R57" s="65">
        <v>3.125E-2</v>
      </c>
      <c r="S57" s="7">
        <f>IF($F$26&lt;=300,2500,IF($F$26&lt;=800,4800,IF($F$26&lt;=2000,7400)))</f>
        <v>2500</v>
      </c>
      <c r="T57" s="128">
        <f t="shared" ref="T57:T59" si="0">+IF($F$11&lt;24,S57,S57+$S$26)</f>
        <v>2500</v>
      </c>
      <c r="AN57" s="287"/>
    </row>
    <row r="58" spans="2:40" ht="18" thickBot="1" x14ac:dyDescent="0.35">
      <c r="B58" s="1"/>
      <c r="C58" s="2"/>
      <c r="D58" s="17" t="s">
        <v>319</v>
      </c>
      <c r="E58" s="2"/>
      <c r="F58" s="228">
        <f>($F$7)</f>
        <v>0</v>
      </c>
      <c r="G58" s="14" t="s">
        <v>321</v>
      </c>
      <c r="H58" s="38"/>
      <c r="I58" s="445" t="s">
        <v>396</v>
      </c>
      <c r="J58" s="445"/>
      <c r="K58" s="445"/>
      <c r="L58" s="217"/>
      <c r="M58" s="173"/>
      <c r="N58" s="38"/>
      <c r="R58" s="65">
        <v>6.2E-2</v>
      </c>
      <c r="S58" s="7">
        <f>IF($F$26&lt;=300,3600,IF($F$26&lt;=800,5400,IF($F$26&lt;=2000,8400)))</f>
        <v>3600</v>
      </c>
      <c r="T58" s="128">
        <f t="shared" si="0"/>
        <v>3600</v>
      </c>
      <c r="AN58" s="287"/>
    </row>
    <row r="59" spans="2:40" ht="18" customHeight="1" thickBot="1" x14ac:dyDescent="0.35">
      <c r="B59" s="50"/>
      <c r="C59" s="227"/>
      <c r="D59" s="14"/>
      <c r="E59" s="2"/>
      <c r="F59" s="57"/>
      <c r="G59" s="14"/>
      <c r="H59" s="227"/>
      <c r="I59" s="227"/>
      <c r="J59" s="46"/>
      <c r="K59" s="181"/>
      <c r="L59" s="180"/>
      <c r="M59" s="173"/>
      <c r="N59" s="46"/>
      <c r="R59" s="65">
        <v>0.125</v>
      </c>
      <c r="S59" s="7">
        <f>IF($F$26&lt;=300,4800,IF($F$26&lt;=800,6400,IF($F$26&lt;=2000,9400)))</f>
        <v>4800</v>
      </c>
      <c r="T59" s="128">
        <f t="shared" si="0"/>
        <v>4800</v>
      </c>
      <c r="AN59" s="287"/>
    </row>
    <row r="60" spans="2:40" ht="18.75" customHeight="1" thickBot="1" x14ac:dyDescent="0.3">
      <c r="B60" s="440" t="s">
        <v>389</v>
      </c>
      <c r="C60" s="187"/>
      <c r="D60" s="188" t="s">
        <v>390</v>
      </c>
      <c r="E60" s="189"/>
      <c r="F60" s="224" t="e">
        <f>LOOKUP(F58,R56:R60,T56:T60)</f>
        <v>#N/A</v>
      </c>
      <c r="G60" s="210" t="s">
        <v>19</v>
      </c>
      <c r="H60" s="220"/>
      <c r="I60" s="431" t="e">
        <f>IF(T64&lt;=0.75,$R$51,IF(T64&lt;=0.9,$R$52,IF(T64&lt;1,$R$53,IF(T64&gt;=1,$R$54))))</f>
        <v>#N/A</v>
      </c>
      <c r="J60" s="431"/>
      <c r="K60" s="431"/>
      <c r="L60" s="221"/>
      <c r="M60" s="173"/>
      <c r="N60" s="46"/>
      <c r="R60" s="7" t="s">
        <v>438</v>
      </c>
      <c r="S60" s="7">
        <f>IF($F$26&lt;=300,3600,IF($F$26&lt;=800,5400,IF($F$26&lt;=2000,8400)))</f>
        <v>3600</v>
      </c>
      <c r="T60" s="128">
        <f t="shared" ref="T60" si="1">+IF($F$11&lt;24,S60,S60+$S$26)</f>
        <v>3600</v>
      </c>
      <c r="AN60" s="287"/>
    </row>
    <row r="61" spans="2:40" ht="3.75" customHeight="1" thickBot="1" x14ac:dyDescent="0.35">
      <c r="B61" s="440"/>
      <c r="C61" s="190"/>
      <c r="D61" s="191"/>
      <c r="E61" s="192"/>
      <c r="F61" s="193"/>
      <c r="G61" s="191"/>
      <c r="H61" s="190"/>
      <c r="I61" s="431"/>
      <c r="J61" s="431"/>
      <c r="K61" s="431"/>
      <c r="L61" s="221"/>
      <c r="M61" s="173"/>
      <c r="N61" s="39"/>
      <c r="R61" s="7">
        <f>IF($F$23&lt;301,2500,IF($F$23&lt;801,4800,IF($F$23&lt;2001,7400,IF($F$23&gt;2000,$R$11))))</f>
        <v>2500</v>
      </c>
      <c r="S61" s="7">
        <f>IF($F$23&lt;301,3600,IF($F$23&lt;801,5400,IF($F$23&lt;2001,8400,IF($F$23&gt;2000,$R$11))))</f>
        <v>3600</v>
      </c>
      <c r="T61" s="7">
        <f>IF($F$23&lt;301,4800,IF($F$23&lt;801,6400,IF($F$23&lt;2001,9400,IF($F$23&gt;2000,$R$11))))</f>
        <v>4800</v>
      </c>
      <c r="AN61" s="287"/>
    </row>
    <row r="62" spans="2:40" ht="18" thickBot="1" x14ac:dyDescent="0.35">
      <c r="B62" s="440"/>
      <c r="C62" s="190"/>
      <c r="D62" s="194" t="s">
        <v>391</v>
      </c>
      <c r="E62" s="195"/>
      <c r="F62" s="225" t="e">
        <f>(F60*$F$48/$F$46)</f>
        <v>#N/A</v>
      </c>
      <c r="G62" s="211" t="s">
        <v>16</v>
      </c>
      <c r="H62" s="190"/>
      <c r="I62" s="431"/>
      <c r="J62" s="431"/>
      <c r="K62" s="431"/>
      <c r="L62" s="221"/>
      <c r="M62" s="173"/>
      <c r="N62" s="39"/>
      <c r="AN62" s="287"/>
    </row>
    <row r="63" spans="2:40" ht="3.75" customHeight="1" thickBot="1" x14ac:dyDescent="0.35">
      <c r="B63" s="440"/>
      <c r="C63" s="196"/>
      <c r="D63" s="197"/>
      <c r="E63" s="192"/>
      <c r="F63" s="193"/>
      <c r="G63" s="212"/>
      <c r="H63" s="196"/>
      <c r="I63" s="431"/>
      <c r="J63" s="431"/>
      <c r="K63" s="431"/>
      <c r="L63" s="221"/>
      <c r="M63" s="173"/>
      <c r="N63" s="94"/>
      <c r="AN63" s="287"/>
    </row>
    <row r="64" spans="2:40" ht="18" thickBot="1" x14ac:dyDescent="0.35">
      <c r="B64" s="440"/>
      <c r="C64" s="196"/>
      <c r="D64" s="197" t="s">
        <v>392</v>
      </c>
      <c r="E64" s="192"/>
      <c r="F64" s="225" t="e">
        <f>(F60*$F$38/$F$46)</f>
        <v>#N/A</v>
      </c>
      <c r="G64" s="213" t="s">
        <v>19</v>
      </c>
      <c r="H64" s="196"/>
      <c r="I64" s="431"/>
      <c r="J64" s="431"/>
      <c r="K64" s="431"/>
      <c r="L64" s="221"/>
      <c r="M64" s="173"/>
      <c r="N64" s="94"/>
      <c r="R64" s="206" t="s">
        <v>394</v>
      </c>
      <c r="S64" s="207"/>
      <c r="T64" s="230" t="e">
        <f>F64/$F$32</f>
        <v>#N/A</v>
      </c>
      <c r="AN64" s="287"/>
    </row>
    <row r="65" spans="2:40" ht="19.2" customHeight="1" thickBot="1" x14ac:dyDescent="0.3">
      <c r="B65" s="1"/>
      <c r="C65" s="11"/>
      <c r="D65" s="95"/>
      <c r="E65" s="94"/>
      <c r="F65" s="96"/>
      <c r="G65" s="97"/>
      <c r="H65" s="84"/>
      <c r="I65" s="84"/>
      <c r="J65" s="84"/>
      <c r="K65" s="181"/>
      <c r="L65" s="180"/>
      <c r="M65" s="173"/>
      <c r="N65" s="84"/>
      <c r="AN65" s="287"/>
    </row>
    <row r="66" spans="2:40" ht="18" customHeight="1" thickBot="1" x14ac:dyDescent="0.3">
      <c r="B66" s="440" t="s">
        <v>393</v>
      </c>
      <c r="C66" s="198"/>
      <c r="D66" s="199" t="s">
        <v>390</v>
      </c>
      <c r="E66" s="196"/>
      <c r="F66" s="226">
        <v>15000</v>
      </c>
      <c r="G66" s="214" t="s">
        <v>19</v>
      </c>
      <c r="H66" s="220"/>
      <c r="I66" s="431" t="e">
        <f>IF(T70&lt;=0.75,$R$51,IF(T70&lt;=0.9,$R$52,IF(T70&lt;1,$R$53,IF(T70&gt;=1,$R$54))))</f>
        <v>#N/A</v>
      </c>
      <c r="J66" s="431"/>
      <c r="K66" s="431"/>
      <c r="L66" s="221"/>
      <c r="M66" s="174"/>
      <c r="N66" s="84"/>
      <c r="AN66" s="287"/>
    </row>
    <row r="67" spans="2:40" ht="3.75" customHeight="1" thickBot="1" x14ac:dyDescent="0.3">
      <c r="B67" s="440"/>
      <c r="C67" s="198"/>
      <c r="D67" s="188"/>
      <c r="E67" s="201"/>
      <c r="F67" s="202"/>
      <c r="G67" s="215"/>
      <c r="H67" s="220"/>
      <c r="I67" s="431"/>
      <c r="J67" s="431"/>
      <c r="K67" s="431"/>
      <c r="L67" s="221"/>
      <c r="M67" s="174"/>
      <c r="N67" s="84"/>
      <c r="AN67" s="287"/>
    </row>
    <row r="68" spans="2:40" ht="21" customHeight="1" thickBot="1" x14ac:dyDescent="0.35">
      <c r="B68" s="440"/>
      <c r="C68" s="198"/>
      <c r="D68" s="188" t="s">
        <v>391</v>
      </c>
      <c r="E68" s="198"/>
      <c r="F68" s="225" t="e">
        <f>(F66*$F$48/$F$46)</f>
        <v>#N/A</v>
      </c>
      <c r="G68" s="210" t="s">
        <v>16</v>
      </c>
      <c r="H68" s="222"/>
      <c r="I68" s="431"/>
      <c r="J68" s="431"/>
      <c r="K68" s="431"/>
      <c r="L68" s="221"/>
      <c r="M68" s="174"/>
      <c r="N68" s="84"/>
      <c r="AN68" s="287"/>
    </row>
    <row r="69" spans="2:40" ht="3.75" customHeight="1" thickBot="1" x14ac:dyDescent="0.3">
      <c r="B69" s="440"/>
      <c r="C69" s="201"/>
      <c r="D69" s="203"/>
      <c r="E69" s="198"/>
      <c r="F69" s="204"/>
      <c r="G69" s="216"/>
      <c r="H69" s="223"/>
      <c r="I69" s="431"/>
      <c r="J69" s="431"/>
      <c r="K69" s="431"/>
      <c r="L69" s="221"/>
      <c r="M69" s="175"/>
      <c r="N69" s="84"/>
      <c r="AN69" s="287"/>
    </row>
    <row r="70" spans="2:40" ht="21.6" thickBot="1" x14ac:dyDescent="0.35">
      <c r="B70" s="440"/>
      <c r="C70" s="205"/>
      <c r="D70" s="188" t="s">
        <v>392</v>
      </c>
      <c r="E70" s="198"/>
      <c r="F70" s="225" t="e">
        <f>(F66*$F$38/$F$46)</f>
        <v>#N/A</v>
      </c>
      <c r="G70" s="213" t="s">
        <v>19</v>
      </c>
      <c r="H70" s="223"/>
      <c r="I70" s="431"/>
      <c r="J70" s="431"/>
      <c r="K70" s="431"/>
      <c r="L70" s="221"/>
      <c r="M70" s="175"/>
      <c r="N70" s="84"/>
      <c r="R70" s="206" t="s">
        <v>395</v>
      </c>
      <c r="S70" s="207"/>
      <c r="T70" s="230" t="e">
        <f>F70/$F$32</f>
        <v>#N/A</v>
      </c>
      <c r="AN70" s="287"/>
    </row>
    <row r="71" spans="2:40" ht="3.75" customHeight="1" thickBot="1" x14ac:dyDescent="0.3">
      <c r="B71" s="59"/>
      <c r="C71" s="60"/>
      <c r="D71" s="61"/>
      <c r="E71" s="60"/>
      <c r="F71" s="62"/>
      <c r="G71" s="60"/>
      <c r="H71" s="184"/>
      <c r="I71" s="184"/>
      <c r="J71" s="184"/>
      <c r="K71" s="185"/>
      <c r="L71" s="186"/>
      <c r="M71" s="171"/>
      <c r="N71" s="164"/>
      <c r="AN71" s="287"/>
    </row>
    <row r="72" spans="2:40" ht="18.75" customHeight="1" thickTop="1" thickBot="1" x14ac:dyDescent="0.3">
      <c r="B72" s="38"/>
      <c r="C72" s="44"/>
      <c r="D72" s="48"/>
      <c r="E72" s="44"/>
      <c r="F72" s="44"/>
      <c r="G72" s="45"/>
      <c r="H72" s="38"/>
      <c r="I72" s="38"/>
      <c r="J72" s="38"/>
      <c r="K72" s="176"/>
      <c r="L72" s="176"/>
      <c r="M72" s="176"/>
      <c r="N72" s="38"/>
      <c r="AN72" s="287"/>
    </row>
    <row r="73" spans="2:40" ht="36" customHeight="1" thickTop="1" x14ac:dyDescent="0.25">
      <c r="B73" s="244" t="s">
        <v>403</v>
      </c>
      <c r="C73" s="248"/>
      <c r="D73" s="248"/>
      <c r="E73" s="248"/>
      <c r="F73" s="248"/>
      <c r="G73" s="248"/>
      <c r="H73" s="463" t="e">
        <f>IF(F77&gt;10000,U73," ")</f>
        <v>#N/A</v>
      </c>
      <c r="I73" s="463"/>
      <c r="J73" s="463"/>
      <c r="K73" s="463"/>
      <c r="L73" s="464"/>
      <c r="M73" s="170"/>
      <c r="N73" s="167"/>
      <c r="R73" s="65">
        <v>1.5625E-2</v>
      </c>
      <c r="S73" s="7">
        <f>IF($F$26&lt;=300,2500,IF($F$26&lt;=800,4800,IF($F$26&lt;=2000,7400)))</f>
        <v>2500</v>
      </c>
      <c r="T73" s="128">
        <f t="shared" ref="T73:T76" si="2">+IF($F$11&lt;24,S73,S73+$S$26)</f>
        <v>2500</v>
      </c>
      <c r="U73" s="7" t="s">
        <v>326</v>
      </c>
      <c r="AN73" s="287"/>
    </row>
    <row r="74" spans="2:40" ht="18.75" customHeight="1" thickBot="1" x14ac:dyDescent="0.3">
      <c r="B74" s="443" t="str">
        <f>IF($F$26&gt;500,"NOT RECOMMENDED FOR THE GIVEN PRESSURE"," ")</f>
        <v xml:space="preserve"> </v>
      </c>
      <c r="C74" s="444"/>
      <c r="D74" s="444"/>
      <c r="E74" s="444"/>
      <c r="F74" s="444"/>
      <c r="G74" s="444"/>
      <c r="H74" s="444" t="str">
        <f>IF($F$7=$Q$34,"THICKNESS APPLIES TO GYLON EPIX ONLY"," ")</f>
        <v xml:space="preserve"> </v>
      </c>
      <c r="I74" s="444"/>
      <c r="J74" s="444"/>
      <c r="K74" s="444"/>
      <c r="L74" s="449"/>
      <c r="M74" s="171"/>
      <c r="N74" s="164"/>
      <c r="R74" s="65">
        <v>3.125E-2</v>
      </c>
      <c r="S74" s="7">
        <f>IF($F$26&lt;=300,2500,IF($F$26&lt;=800,4800,IF($F$26&lt;=2000,7400)))</f>
        <v>2500</v>
      </c>
      <c r="T74" s="128">
        <f t="shared" si="2"/>
        <v>2500</v>
      </c>
      <c r="AN74" s="287"/>
    </row>
    <row r="75" spans="2:40" ht="18.75" customHeight="1" thickBot="1" x14ac:dyDescent="0.35">
      <c r="B75" s="1"/>
      <c r="C75" s="2"/>
      <c r="D75" s="17" t="s">
        <v>319</v>
      </c>
      <c r="E75" s="2"/>
      <c r="F75" s="228">
        <f>($F$7)</f>
        <v>0</v>
      </c>
      <c r="G75" s="14" t="s">
        <v>321</v>
      </c>
      <c r="H75" s="38"/>
      <c r="I75" s="445" t="s">
        <v>396</v>
      </c>
      <c r="J75" s="445"/>
      <c r="K75" s="445"/>
      <c r="L75" s="217"/>
      <c r="M75" s="173"/>
      <c r="N75" s="38"/>
      <c r="R75" s="65">
        <v>6.2E-2</v>
      </c>
      <c r="S75" s="7">
        <f>IF($F$26&lt;=300,3600,IF($F$26&lt;=800,5400,IF($F$26&lt;=2000,8400)))</f>
        <v>3600</v>
      </c>
      <c r="T75" s="128">
        <f t="shared" si="2"/>
        <v>3600</v>
      </c>
      <c r="AN75" s="287"/>
    </row>
    <row r="76" spans="2:40" ht="18" customHeight="1" thickBot="1" x14ac:dyDescent="0.35">
      <c r="B76" s="50"/>
      <c r="C76" s="227"/>
      <c r="D76" s="14"/>
      <c r="E76" s="2"/>
      <c r="F76" s="57"/>
      <c r="G76" s="14"/>
      <c r="H76" s="227"/>
      <c r="I76" s="227"/>
      <c r="J76" s="46"/>
      <c r="K76" s="181"/>
      <c r="L76" s="180"/>
      <c r="M76" s="173"/>
      <c r="N76" s="46"/>
      <c r="R76" s="65">
        <v>0.125</v>
      </c>
      <c r="S76" s="7">
        <f>IF($F$26&lt;=300,4800,IF($F$26&lt;=800,6400,IF($F$26&lt;=2000,9400)))</f>
        <v>4800</v>
      </c>
      <c r="T76" s="128">
        <f t="shared" si="2"/>
        <v>4800</v>
      </c>
      <c r="AN76" s="287"/>
    </row>
    <row r="77" spans="2:40" ht="18.75" customHeight="1" thickBot="1" x14ac:dyDescent="0.3">
      <c r="B77" s="440" t="s">
        <v>389</v>
      </c>
      <c r="C77" s="187"/>
      <c r="D77" s="188" t="s">
        <v>390</v>
      </c>
      <c r="E77" s="189"/>
      <c r="F77" s="224" t="e">
        <f>LOOKUP(F75,R73:R76,T73:T76)</f>
        <v>#N/A</v>
      </c>
      <c r="G77" s="210" t="s">
        <v>19</v>
      </c>
      <c r="H77" s="220"/>
      <c r="I77" s="431" t="e">
        <f>IF(T81&lt;=0.75,$R$51,IF(T81&lt;=0.9,$R$52,IF(T81&lt;1,$R$53,IF(T81&gt;=1,$R$54))))</f>
        <v>#N/A</v>
      </c>
      <c r="J77" s="431"/>
      <c r="K77" s="431"/>
      <c r="L77" s="221"/>
      <c r="M77" s="173"/>
      <c r="N77" s="46"/>
      <c r="AN77" s="287"/>
    </row>
    <row r="78" spans="2:40" ht="3.75" customHeight="1" thickBot="1" x14ac:dyDescent="0.35">
      <c r="B78" s="440"/>
      <c r="C78" s="190"/>
      <c r="D78" s="191"/>
      <c r="E78" s="192"/>
      <c r="F78" s="193"/>
      <c r="G78" s="191"/>
      <c r="H78" s="190"/>
      <c r="I78" s="431"/>
      <c r="J78" s="431"/>
      <c r="K78" s="431"/>
      <c r="L78" s="221"/>
      <c r="M78" s="173"/>
      <c r="N78" s="39"/>
      <c r="R78" s="7">
        <f>IF($F$23&lt;301,2500,IF($F$23&lt;801,4800,IF($F$23&lt;2001,7400,IF($F$23&gt;2000,$R$11))))</f>
        <v>2500</v>
      </c>
      <c r="S78" s="7">
        <f>IF($F$23&lt;301,3600,IF($F$23&lt;801,5400,IF($F$23&lt;2001,8400,IF($F$23&gt;2000,$R$11))))</f>
        <v>3600</v>
      </c>
      <c r="AN78" s="287"/>
    </row>
    <row r="79" spans="2:40" ht="18.75" customHeight="1" thickBot="1" x14ac:dyDescent="0.35">
      <c r="B79" s="440"/>
      <c r="C79" s="190"/>
      <c r="D79" s="194" t="s">
        <v>391</v>
      </c>
      <c r="E79" s="195"/>
      <c r="F79" s="225" t="e">
        <f>(F77*$F$48/$F$46)</f>
        <v>#N/A</v>
      </c>
      <c r="G79" s="211" t="s">
        <v>16</v>
      </c>
      <c r="H79" s="190"/>
      <c r="I79" s="431"/>
      <c r="J79" s="431"/>
      <c r="K79" s="431"/>
      <c r="L79" s="221"/>
      <c r="M79" s="173"/>
      <c r="N79" s="39"/>
      <c r="AN79" s="287"/>
    </row>
    <row r="80" spans="2:40" ht="3.75" customHeight="1" thickBot="1" x14ac:dyDescent="0.35">
      <c r="B80" s="440"/>
      <c r="C80" s="196"/>
      <c r="D80" s="197"/>
      <c r="E80" s="192"/>
      <c r="F80" s="193"/>
      <c r="G80" s="212"/>
      <c r="H80" s="196"/>
      <c r="I80" s="431"/>
      <c r="J80" s="431"/>
      <c r="K80" s="431"/>
      <c r="L80" s="221"/>
      <c r="M80" s="173"/>
      <c r="N80" s="94"/>
      <c r="AN80" s="287"/>
    </row>
    <row r="81" spans="2:40" ht="18.75" customHeight="1" thickBot="1" x14ac:dyDescent="0.35">
      <c r="B81" s="440"/>
      <c r="C81" s="196"/>
      <c r="D81" s="197" t="s">
        <v>392</v>
      </c>
      <c r="E81" s="192"/>
      <c r="F81" s="225" t="e">
        <f>(F77*$F$38/$F$46)</f>
        <v>#N/A</v>
      </c>
      <c r="G81" s="213" t="s">
        <v>19</v>
      </c>
      <c r="H81" s="196"/>
      <c r="I81" s="431"/>
      <c r="J81" s="431"/>
      <c r="K81" s="431"/>
      <c r="L81" s="221"/>
      <c r="M81" s="173"/>
      <c r="N81" s="94"/>
      <c r="R81" s="206" t="s">
        <v>394</v>
      </c>
      <c r="S81" s="207"/>
      <c r="T81" s="230" t="e">
        <f>F81/$F$32</f>
        <v>#N/A</v>
      </c>
      <c r="AN81" s="287"/>
    </row>
    <row r="82" spans="2:40" ht="18" customHeight="1" thickBot="1" x14ac:dyDescent="0.3">
      <c r="B82" s="1"/>
      <c r="C82" s="11"/>
      <c r="D82" s="95"/>
      <c r="E82" s="94"/>
      <c r="F82" s="96"/>
      <c r="G82" s="97"/>
      <c r="H82" s="84"/>
      <c r="I82" s="84"/>
      <c r="J82" s="84"/>
      <c r="K82" s="181"/>
      <c r="L82" s="180"/>
      <c r="M82" s="173"/>
      <c r="N82" s="84"/>
      <c r="AN82" s="287"/>
    </row>
    <row r="83" spans="2:40" ht="18.75" customHeight="1" thickBot="1" x14ac:dyDescent="0.3">
      <c r="B83" s="440" t="s">
        <v>393</v>
      </c>
      <c r="C83" s="198"/>
      <c r="D83" s="199" t="s">
        <v>390</v>
      </c>
      <c r="E83" s="196"/>
      <c r="F83" s="226">
        <v>10000</v>
      </c>
      <c r="G83" s="214" t="s">
        <v>19</v>
      </c>
      <c r="H83" s="220"/>
      <c r="I83" s="431" t="e">
        <f>IF(T87&lt;=0.75,$R$51,IF(T87&lt;=0.9,$R$52,IF(T87&lt;1,$R$53,IF(T87&gt;=1,$R$54))))</f>
        <v>#N/A</v>
      </c>
      <c r="J83" s="431"/>
      <c r="K83" s="431"/>
      <c r="L83" s="221"/>
      <c r="M83" s="174"/>
      <c r="N83" s="84"/>
      <c r="AN83" s="287"/>
    </row>
    <row r="84" spans="2:40" ht="3.75" customHeight="1" thickBot="1" x14ac:dyDescent="0.3">
      <c r="B84" s="440"/>
      <c r="C84" s="198"/>
      <c r="D84" s="188"/>
      <c r="E84" s="201"/>
      <c r="F84" s="202"/>
      <c r="G84" s="215"/>
      <c r="H84" s="220"/>
      <c r="I84" s="431"/>
      <c r="J84" s="431"/>
      <c r="K84" s="431"/>
      <c r="L84" s="221"/>
      <c r="M84" s="174"/>
      <c r="N84" s="84"/>
      <c r="AN84" s="287"/>
    </row>
    <row r="85" spans="2:40" ht="18.75" customHeight="1" thickBot="1" x14ac:dyDescent="0.35">
      <c r="B85" s="440"/>
      <c r="C85" s="198"/>
      <c r="D85" s="188" t="s">
        <v>391</v>
      </c>
      <c r="E85" s="198"/>
      <c r="F85" s="225" t="e">
        <f>(F83*$F$48/$F$46)</f>
        <v>#N/A</v>
      </c>
      <c r="G85" s="210" t="s">
        <v>16</v>
      </c>
      <c r="H85" s="222"/>
      <c r="I85" s="431"/>
      <c r="J85" s="431"/>
      <c r="K85" s="431"/>
      <c r="L85" s="221"/>
      <c r="M85" s="174"/>
      <c r="N85" s="84"/>
      <c r="AN85" s="287"/>
    </row>
    <row r="86" spans="2:40" ht="3.75" customHeight="1" thickBot="1" x14ac:dyDescent="0.3">
      <c r="B86" s="440"/>
      <c r="C86" s="201"/>
      <c r="D86" s="203"/>
      <c r="E86" s="198"/>
      <c r="F86" s="204"/>
      <c r="G86" s="216"/>
      <c r="H86" s="223"/>
      <c r="I86" s="431"/>
      <c r="J86" s="431"/>
      <c r="K86" s="431"/>
      <c r="L86" s="221"/>
      <c r="M86" s="175"/>
      <c r="N86" s="84"/>
      <c r="AN86" s="287"/>
    </row>
    <row r="87" spans="2:40" ht="18.75" customHeight="1" thickBot="1" x14ac:dyDescent="0.35">
      <c r="B87" s="440"/>
      <c r="C87" s="205"/>
      <c r="D87" s="188" t="s">
        <v>392</v>
      </c>
      <c r="E87" s="198"/>
      <c r="F87" s="225" t="e">
        <f>(F83*$F$38/$F$46)</f>
        <v>#N/A</v>
      </c>
      <c r="G87" s="213" t="s">
        <v>19</v>
      </c>
      <c r="H87" s="223"/>
      <c r="I87" s="431"/>
      <c r="J87" s="431"/>
      <c r="K87" s="431"/>
      <c r="L87" s="221"/>
      <c r="M87" s="175"/>
      <c r="N87" s="84"/>
      <c r="R87" s="206" t="s">
        <v>395</v>
      </c>
      <c r="S87" s="207"/>
      <c r="T87" s="230" t="e">
        <f>F87/$F$32</f>
        <v>#N/A</v>
      </c>
      <c r="AN87" s="287"/>
    </row>
    <row r="88" spans="2:40" ht="3.75" customHeight="1" thickBot="1" x14ac:dyDescent="0.3">
      <c r="B88" s="59"/>
      <c r="C88" s="60"/>
      <c r="D88" s="61"/>
      <c r="E88" s="60"/>
      <c r="F88" s="62"/>
      <c r="G88" s="60"/>
      <c r="H88" s="184"/>
      <c r="I88" s="184"/>
      <c r="J88" s="184"/>
      <c r="K88" s="185"/>
      <c r="L88" s="186"/>
      <c r="M88" s="171"/>
      <c r="N88" s="164"/>
      <c r="AN88" s="287"/>
    </row>
    <row r="89" spans="2:40" ht="18.75" customHeight="1" thickTop="1" thickBot="1" x14ac:dyDescent="0.3">
      <c r="B89" s="38"/>
      <c r="C89" s="44"/>
      <c r="D89" s="48"/>
      <c r="E89" s="44"/>
      <c r="F89" s="44"/>
      <c r="G89" s="45"/>
      <c r="H89" s="38"/>
      <c r="I89" s="38"/>
      <c r="J89" s="38"/>
      <c r="K89" s="176"/>
      <c r="L89" s="176"/>
      <c r="M89" s="176"/>
      <c r="N89" s="38"/>
      <c r="AN89" s="287"/>
    </row>
    <row r="90" spans="2:40" ht="36" customHeight="1" thickTop="1" x14ac:dyDescent="0.25">
      <c r="B90" s="244" t="s">
        <v>439</v>
      </c>
      <c r="C90" s="248"/>
      <c r="D90" s="248"/>
      <c r="E90" s="248"/>
      <c r="F90" s="248"/>
      <c r="G90" s="248"/>
      <c r="H90" s="463" t="e">
        <f>IF(F94&gt;10000,U90," ")</f>
        <v>#N/A</v>
      </c>
      <c r="I90" s="463"/>
      <c r="J90" s="463"/>
      <c r="K90" s="463"/>
      <c r="L90" s="464"/>
      <c r="M90" s="170"/>
      <c r="N90" s="167"/>
      <c r="R90" s="65">
        <v>1.5625E-2</v>
      </c>
      <c r="S90" s="7">
        <f>IF($F$26&lt;=300,2500,IF($F$26&lt;=800,4800,IF($F$26&lt;=2000,7400)))</f>
        <v>2500</v>
      </c>
      <c r="T90" s="128">
        <f t="shared" ref="T90:T93" si="3">+IF($F$11&lt;24,S90,S90+$S$26)</f>
        <v>2500</v>
      </c>
      <c r="U90" s="7" t="s">
        <v>326</v>
      </c>
      <c r="AN90" s="287"/>
    </row>
    <row r="91" spans="2:40" ht="18.75" customHeight="1" thickBot="1" x14ac:dyDescent="0.3">
      <c r="B91" s="443" t="str">
        <f>IF($F$26&gt;2000,"NOT RECOMMENDED FOR THE GIVEN PRESSURE"," ")</f>
        <v xml:space="preserve"> </v>
      </c>
      <c r="C91" s="444"/>
      <c r="D91" s="444"/>
      <c r="E91" s="444"/>
      <c r="F91" s="444"/>
      <c r="G91" s="444"/>
      <c r="H91" s="444" t="str">
        <f>IF($F$7=$Q$34,"THICKNESS APPLIES TO GYLON EPIX ONLY"," ")</f>
        <v xml:space="preserve"> </v>
      </c>
      <c r="I91" s="444"/>
      <c r="J91" s="444"/>
      <c r="K91" s="444"/>
      <c r="L91" s="449"/>
      <c r="M91" s="171"/>
      <c r="N91" s="164"/>
      <c r="R91" s="65">
        <v>3.125E-2</v>
      </c>
      <c r="S91" s="7">
        <f>IF($F$26&lt;=300,2500,IF($F$26&lt;=800,4800,IF($F$26&lt;=2000,7400)))</f>
        <v>2500</v>
      </c>
      <c r="T91" s="128">
        <f t="shared" si="3"/>
        <v>2500</v>
      </c>
      <c r="AN91" s="287"/>
    </row>
    <row r="92" spans="2:40" ht="18.75" customHeight="1" thickBot="1" x14ac:dyDescent="0.35">
      <c r="B92" s="1"/>
      <c r="C92" s="2"/>
      <c r="D92" s="17" t="s">
        <v>319</v>
      </c>
      <c r="E92" s="2"/>
      <c r="F92" s="228">
        <f>($F$7)</f>
        <v>0</v>
      </c>
      <c r="G92" s="14" t="s">
        <v>321</v>
      </c>
      <c r="H92" s="38"/>
      <c r="I92" s="445" t="s">
        <v>396</v>
      </c>
      <c r="J92" s="445"/>
      <c r="K92" s="445"/>
      <c r="L92" s="217"/>
      <c r="M92" s="173"/>
      <c r="N92" s="38"/>
      <c r="R92" s="65">
        <v>6.2E-2</v>
      </c>
      <c r="S92" s="7">
        <f>IF($F$26&lt;=300,3600,IF($F$26&lt;=800,5400,IF($F$26&lt;=2000,8400)))</f>
        <v>3600</v>
      </c>
      <c r="T92" s="128">
        <f t="shared" si="3"/>
        <v>3600</v>
      </c>
      <c r="AN92" s="287"/>
    </row>
    <row r="93" spans="2:40" ht="18" customHeight="1" thickBot="1" x14ac:dyDescent="0.35">
      <c r="B93" s="50"/>
      <c r="C93" s="227"/>
      <c r="D93" s="14"/>
      <c r="E93" s="2"/>
      <c r="F93" s="57"/>
      <c r="G93" s="14"/>
      <c r="H93" s="227"/>
      <c r="I93" s="227"/>
      <c r="J93" s="46"/>
      <c r="K93" s="181"/>
      <c r="L93" s="180"/>
      <c r="M93" s="173"/>
      <c r="N93" s="46"/>
      <c r="R93" s="65">
        <v>0.125</v>
      </c>
      <c r="S93" s="7">
        <f>IF($F$26&lt;=300,4800,IF($F$26&lt;=800,6400,IF($F$26&lt;=2000,9400)))</f>
        <v>4800</v>
      </c>
      <c r="T93" s="128">
        <f t="shared" si="3"/>
        <v>4800</v>
      </c>
      <c r="AN93" s="287"/>
    </row>
    <row r="94" spans="2:40" ht="18.75" customHeight="1" thickBot="1" x14ac:dyDescent="0.3">
      <c r="B94" s="440" t="s">
        <v>389</v>
      </c>
      <c r="C94" s="187"/>
      <c r="D94" s="188" t="s">
        <v>390</v>
      </c>
      <c r="E94" s="189"/>
      <c r="F94" s="224" t="e">
        <f>LOOKUP(F92,R90:R93,T90:T93)</f>
        <v>#N/A</v>
      </c>
      <c r="G94" s="210" t="s">
        <v>19</v>
      </c>
      <c r="H94" s="220"/>
      <c r="I94" s="431" t="e">
        <f>IF(T98&lt;=0.75,$R$51,IF(T98&lt;=0.9,$R$52,IF(T98&lt;1,$R$53,IF(T98&gt;=1,$R$54))))</f>
        <v>#N/A</v>
      </c>
      <c r="J94" s="431"/>
      <c r="K94" s="431"/>
      <c r="L94" s="221"/>
      <c r="M94" s="173"/>
      <c r="N94" s="46"/>
      <c r="AN94" s="287"/>
    </row>
    <row r="95" spans="2:40" ht="3.75" customHeight="1" thickBot="1" x14ac:dyDescent="0.35">
      <c r="B95" s="440"/>
      <c r="C95" s="190"/>
      <c r="D95" s="191"/>
      <c r="E95" s="192"/>
      <c r="F95" s="193"/>
      <c r="G95" s="191"/>
      <c r="H95" s="190"/>
      <c r="I95" s="431"/>
      <c r="J95" s="431"/>
      <c r="K95" s="431"/>
      <c r="L95" s="221"/>
      <c r="M95" s="173"/>
      <c r="N95" s="39"/>
      <c r="R95" s="7">
        <f>IF($F$23&lt;301,2500,IF($F$23&lt;801,4800,IF($F$23&lt;2001,7400,IF($F$23&gt;2000,$R$11))))</f>
        <v>2500</v>
      </c>
      <c r="S95" s="7">
        <f>IF($F$23&lt;301,3600,IF($F$23&lt;801,5400,IF($F$23&lt;2001,8400,IF($F$23&gt;2000,$R$11))))</f>
        <v>3600</v>
      </c>
      <c r="AN95" s="287"/>
    </row>
    <row r="96" spans="2:40" ht="18.75" customHeight="1" thickBot="1" x14ac:dyDescent="0.35">
      <c r="B96" s="440"/>
      <c r="C96" s="190"/>
      <c r="D96" s="194" t="s">
        <v>391</v>
      </c>
      <c r="E96" s="195"/>
      <c r="F96" s="225" t="e">
        <f>(F94*$F$48/$F$46)</f>
        <v>#N/A</v>
      </c>
      <c r="G96" s="211" t="s">
        <v>16</v>
      </c>
      <c r="H96" s="190"/>
      <c r="I96" s="431"/>
      <c r="J96" s="431"/>
      <c r="K96" s="431"/>
      <c r="L96" s="221"/>
      <c r="M96" s="173"/>
      <c r="N96" s="39"/>
      <c r="AN96" s="287"/>
    </row>
    <row r="97" spans="2:40" ht="3.75" customHeight="1" thickBot="1" x14ac:dyDescent="0.35">
      <c r="B97" s="440"/>
      <c r="C97" s="196"/>
      <c r="D97" s="197"/>
      <c r="E97" s="192"/>
      <c r="F97" s="193"/>
      <c r="G97" s="212"/>
      <c r="H97" s="196"/>
      <c r="I97" s="431"/>
      <c r="J97" s="431"/>
      <c r="K97" s="431"/>
      <c r="L97" s="221"/>
      <c r="M97" s="173"/>
      <c r="N97" s="94"/>
      <c r="AN97" s="287"/>
    </row>
    <row r="98" spans="2:40" ht="18.75" customHeight="1" thickBot="1" x14ac:dyDescent="0.35">
      <c r="B98" s="440"/>
      <c r="C98" s="196"/>
      <c r="D98" s="197" t="s">
        <v>392</v>
      </c>
      <c r="E98" s="192"/>
      <c r="F98" s="225" t="e">
        <f>(F94*$F$38/$F$46)</f>
        <v>#N/A</v>
      </c>
      <c r="G98" s="213" t="s">
        <v>19</v>
      </c>
      <c r="H98" s="196"/>
      <c r="I98" s="431"/>
      <c r="J98" s="431"/>
      <c r="K98" s="431"/>
      <c r="L98" s="221"/>
      <c r="M98" s="173"/>
      <c r="N98" s="94"/>
      <c r="R98" s="206" t="s">
        <v>394</v>
      </c>
      <c r="S98" s="207"/>
      <c r="T98" s="230" t="e">
        <f>F98/$F$32</f>
        <v>#N/A</v>
      </c>
      <c r="AN98" s="287"/>
    </row>
    <row r="99" spans="2:40" ht="18" customHeight="1" thickBot="1" x14ac:dyDescent="0.3">
      <c r="B99" s="1"/>
      <c r="C99" s="11"/>
      <c r="D99" s="95"/>
      <c r="E99" s="94"/>
      <c r="F99" s="96"/>
      <c r="G99" s="97"/>
      <c r="H99" s="84"/>
      <c r="I99" s="84"/>
      <c r="J99" s="84"/>
      <c r="K99" s="181"/>
      <c r="L99" s="180"/>
      <c r="M99" s="173"/>
      <c r="N99" s="84"/>
      <c r="AN99" s="287"/>
    </row>
    <row r="100" spans="2:40" ht="18.75" customHeight="1" thickBot="1" x14ac:dyDescent="0.3">
      <c r="B100" s="440" t="s">
        <v>393</v>
      </c>
      <c r="C100" s="198"/>
      <c r="D100" s="199" t="s">
        <v>390</v>
      </c>
      <c r="E100" s="196"/>
      <c r="F100" s="200">
        <v>10000</v>
      </c>
      <c r="G100" s="214" t="s">
        <v>19</v>
      </c>
      <c r="H100" s="220"/>
      <c r="I100" s="431" t="e">
        <f>IF(T104&lt;=0.75,$R$51,IF(T104&lt;=0.9,$R$52,IF(T104&lt;1,$R$53,IF(T104&gt;=1,$R$54))))</f>
        <v>#N/A</v>
      </c>
      <c r="J100" s="431"/>
      <c r="K100" s="431"/>
      <c r="L100" s="221"/>
      <c r="M100" s="174"/>
      <c r="N100" s="84"/>
      <c r="AN100" s="287"/>
    </row>
    <row r="101" spans="2:40" ht="3.75" customHeight="1" thickBot="1" x14ac:dyDescent="0.3">
      <c r="B101" s="440"/>
      <c r="C101" s="198"/>
      <c r="D101" s="188"/>
      <c r="E101" s="201"/>
      <c r="F101" s="202"/>
      <c r="G101" s="215"/>
      <c r="H101" s="220"/>
      <c r="I101" s="431"/>
      <c r="J101" s="431"/>
      <c r="K101" s="431"/>
      <c r="L101" s="221"/>
      <c r="M101" s="174"/>
      <c r="N101" s="84"/>
      <c r="AN101" s="287"/>
    </row>
    <row r="102" spans="2:40" ht="18.75" customHeight="1" thickBot="1" x14ac:dyDescent="0.35">
      <c r="B102" s="440"/>
      <c r="C102" s="198"/>
      <c r="D102" s="188" t="s">
        <v>391</v>
      </c>
      <c r="E102" s="198"/>
      <c r="F102" s="225" t="e">
        <f>(F100*$F$48/$F$46)</f>
        <v>#N/A</v>
      </c>
      <c r="G102" s="210" t="s">
        <v>16</v>
      </c>
      <c r="H102" s="222"/>
      <c r="I102" s="431"/>
      <c r="J102" s="431"/>
      <c r="K102" s="431"/>
      <c r="L102" s="221"/>
      <c r="M102" s="174"/>
      <c r="N102" s="84"/>
      <c r="AN102" s="287"/>
    </row>
    <row r="103" spans="2:40" ht="3.75" customHeight="1" thickBot="1" x14ac:dyDescent="0.3">
      <c r="B103" s="440"/>
      <c r="C103" s="201"/>
      <c r="D103" s="203"/>
      <c r="E103" s="198"/>
      <c r="F103" s="204"/>
      <c r="G103" s="216"/>
      <c r="H103" s="223"/>
      <c r="I103" s="431"/>
      <c r="J103" s="431"/>
      <c r="K103" s="431"/>
      <c r="L103" s="221"/>
      <c r="M103" s="175"/>
      <c r="N103" s="84"/>
      <c r="AN103" s="287"/>
    </row>
    <row r="104" spans="2:40" ht="18.75" customHeight="1" thickBot="1" x14ac:dyDescent="0.35">
      <c r="B104" s="440"/>
      <c r="C104" s="205"/>
      <c r="D104" s="188" t="s">
        <v>392</v>
      </c>
      <c r="E104" s="198"/>
      <c r="F104" s="225" t="e">
        <f>(F100*$F$38/$F$46)</f>
        <v>#N/A</v>
      </c>
      <c r="G104" s="213" t="s">
        <v>19</v>
      </c>
      <c r="H104" s="223"/>
      <c r="I104" s="431"/>
      <c r="J104" s="431"/>
      <c r="K104" s="431"/>
      <c r="L104" s="221"/>
      <c r="M104" s="175"/>
      <c r="N104" s="84"/>
      <c r="R104" s="206" t="s">
        <v>395</v>
      </c>
      <c r="S104" s="207"/>
      <c r="T104" s="230" t="e">
        <f>F104/$F$32</f>
        <v>#N/A</v>
      </c>
      <c r="AN104" s="287"/>
    </row>
    <row r="105" spans="2:40" ht="3.75" customHeight="1" thickBot="1" x14ac:dyDescent="0.3">
      <c r="B105" s="59"/>
      <c r="C105" s="60"/>
      <c r="D105" s="61"/>
      <c r="E105" s="60"/>
      <c r="F105" s="62"/>
      <c r="G105" s="60"/>
      <c r="H105" s="184"/>
      <c r="I105" s="184"/>
      <c r="J105" s="184"/>
      <c r="K105" s="185"/>
      <c r="L105" s="186"/>
      <c r="M105" s="171"/>
      <c r="N105" s="164"/>
      <c r="AN105" s="287"/>
    </row>
    <row r="106" spans="2:40" ht="18.75" customHeight="1" thickTop="1" thickBot="1" x14ac:dyDescent="0.3">
      <c r="B106" s="2"/>
      <c r="C106" s="11"/>
      <c r="D106" s="47"/>
      <c r="E106" s="11"/>
      <c r="F106" s="11"/>
      <c r="G106" s="11"/>
      <c r="H106" s="84"/>
      <c r="I106" s="84"/>
      <c r="J106" s="84"/>
      <c r="K106" s="175"/>
      <c r="L106" s="175"/>
      <c r="M106" s="175"/>
      <c r="N106" s="84"/>
      <c r="S106" s="126" t="s">
        <v>380</v>
      </c>
      <c r="T106" s="126" t="s">
        <v>383</v>
      </c>
      <c r="AN106" s="287"/>
    </row>
    <row r="107" spans="2:40" ht="36" customHeight="1" thickTop="1" x14ac:dyDescent="0.25">
      <c r="B107" s="244" t="s">
        <v>441</v>
      </c>
      <c r="C107" s="248"/>
      <c r="D107" s="248"/>
      <c r="E107" s="248"/>
      <c r="F107" s="248"/>
      <c r="G107" s="248"/>
      <c r="H107" s="246"/>
      <c r="I107" s="246"/>
      <c r="J107" s="246"/>
      <c r="K107" s="246"/>
      <c r="L107" s="247"/>
      <c r="M107" s="170"/>
      <c r="N107" s="167"/>
      <c r="R107" s="65" t="s">
        <v>364</v>
      </c>
      <c r="S107" s="64">
        <f>IF($F$26&lt;=300,3600,IF($F$26&lt;=800,4800,IF($F$26&lt;=2000,6000,)))</f>
        <v>3600</v>
      </c>
      <c r="T107" s="128">
        <f t="shared" ref="T107" si="4">+IF($F$11&lt;24,S107,S107+$S$26)</f>
        <v>3600</v>
      </c>
      <c r="AN107" s="287"/>
    </row>
    <row r="108" spans="2:40" ht="18.75" customHeight="1" thickBot="1" x14ac:dyDescent="0.3">
      <c r="B108" s="443" t="str">
        <f>IF($F$26&gt;2000,"NOT RECOMMENDED FOR THE GIVEN PRESSURE"," ")</f>
        <v xml:space="preserve"> </v>
      </c>
      <c r="C108" s="444"/>
      <c r="D108" s="444"/>
      <c r="E108" s="444"/>
      <c r="F108" s="444"/>
      <c r="G108" s="444"/>
      <c r="H108" s="272"/>
      <c r="I108" s="272"/>
      <c r="J108" s="272"/>
      <c r="K108" s="272"/>
      <c r="L108" s="273"/>
      <c r="M108" s="171"/>
      <c r="N108" s="164"/>
      <c r="R108" s="81"/>
      <c r="T108" s="128"/>
      <c r="AN108" s="287"/>
    </row>
    <row r="109" spans="2:40" ht="18.75" customHeight="1" thickBot="1" x14ac:dyDescent="0.35">
      <c r="B109" s="1"/>
      <c r="C109" s="2"/>
      <c r="D109" s="17" t="s">
        <v>319</v>
      </c>
      <c r="E109" s="2"/>
      <c r="F109" s="103" t="s">
        <v>379</v>
      </c>
      <c r="G109" s="14" t="s">
        <v>321</v>
      </c>
      <c r="H109" s="38"/>
      <c r="I109" s="445" t="s">
        <v>396</v>
      </c>
      <c r="J109" s="445"/>
      <c r="K109" s="445"/>
      <c r="L109" s="217"/>
      <c r="M109" s="173"/>
      <c r="N109" s="38"/>
      <c r="R109" s="81"/>
      <c r="T109" s="128"/>
      <c r="AN109" s="287"/>
    </row>
    <row r="110" spans="2:40" ht="18" customHeight="1" thickBot="1" x14ac:dyDescent="0.35">
      <c r="B110" s="50"/>
      <c r="C110" s="227"/>
      <c r="D110" s="14"/>
      <c r="E110" s="2"/>
      <c r="F110" s="57"/>
      <c r="G110" s="14"/>
      <c r="H110" s="227"/>
      <c r="I110" s="227"/>
      <c r="J110" s="46"/>
      <c r="K110" s="181"/>
      <c r="L110" s="180"/>
      <c r="M110" s="173"/>
      <c r="N110" s="46"/>
      <c r="R110" s="81"/>
      <c r="T110" s="128"/>
      <c r="AN110" s="287"/>
    </row>
    <row r="111" spans="2:40" ht="18.75" customHeight="1" thickBot="1" x14ac:dyDescent="0.3">
      <c r="B111" s="440" t="s">
        <v>389</v>
      </c>
      <c r="C111" s="187"/>
      <c r="D111" s="188" t="s">
        <v>390</v>
      </c>
      <c r="E111" s="189"/>
      <c r="F111" s="224">
        <f>T107</f>
        <v>3600</v>
      </c>
      <c r="G111" s="210" t="s">
        <v>19</v>
      </c>
      <c r="H111" s="220"/>
      <c r="I111" s="431" t="e">
        <f>IF(T115&lt;=0.75,$R$51,IF(T115&lt;=0.9,$R$52,IF(T115&lt;1,$R$53,IF(T115&gt;=1,$R$54))))</f>
        <v>#N/A</v>
      </c>
      <c r="J111" s="431"/>
      <c r="K111" s="431"/>
      <c r="L111" s="221"/>
      <c r="M111" s="173"/>
      <c r="N111" s="46"/>
      <c r="AN111" s="287"/>
    </row>
    <row r="112" spans="2:40" ht="3.75" customHeight="1" thickBot="1" x14ac:dyDescent="0.35">
      <c r="B112" s="440"/>
      <c r="C112" s="190"/>
      <c r="D112" s="191"/>
      <c r="E112" s="192"/>
      <c r="F112" s="193"/>
      <c r="G112" s="191"/>
      <c r="H112" s="190"/>
      <c r="I112" s="431"/>
      <c r="J112" s="431"/>
      <c r="K112" s="431"/>
      <c r="L112" s="221"/>
      <c r="M112" s="173"/>
      <c r="N112" s="39"/>
      <c r="R112" s="7">
        <f>IF($F$23&lt;301,2500,IF($F$23&lt;801,4800,IF($F$23&lt;2001,7400,IF($F$23&gt;2000,$R$11))))</f>
        <v>2500</v>
      </c>
      <c r="S112" s="7">
        <f>IF($F$23&lt;301,3600,IF($F$23&lt;801,5400,IF($F$23&lt;2001,8400,IF($F$23&gt;2000,$R$11))))</f>
        <v>3600</v>
      </c>
      <c r="AN112" s="287"/>
    </row>
    <row r="113" spans="2:40" ht="18.75" customHeight="1" thickBot="1" x14ac:dyDescent="0.35">
      <c r="B113" s="440"/>
      <c r="C113" s="190"/>
      <c r="D113" s="194" t="s">
        <v>391</v>
      </c>
      <c r="E113" s="195"/>
      <c r="F113" s="225" t="e">
        <f>(F111*$F$48/$F$46)</f>
        <v>#N/A</v>
      </c>
      <c r="G113" s="211" t="s">
        <v>16</v>
      </c>
      <c r="H113" s="190"/>
      <c r="I113" s="431"/>
      <c r="J113" s="431"/>
      <c r="K113" s="431"/>
      <c r="L113" s="221"/>
      <c r="M113" s="173"/>
      <c r="N113" s="39"/>
      <c r="AN113" s="287"/>
    </row>
    <row r="114" spans="2:40" ht="3.75" customHeight="1" thickBot="1" x14ac:dyDescent="0.35">
      <c r="B114" s="440"/>
      <c r="C114" s="196"/>
      <c r="D114" s="197"/>
      <c r="E114" s="192"/>
      <c r="F114" s="193"/>
      <c r="G114" s="212"/>
      <c r="H114" s="196"/>
      <c r="I114" s="431"/>
      <c r="J114" s="431"/>
      <c r="K114" s="431"/>
      <c r="L114" s="221"/>
      <c r="M114" s="173"/>
      <c r="N114" s="94"/>
      <c r="AN114" s="287"/>
    </row>
    <row r="115" spans="2:40" ht="18.75" customHeight="1" thickBot="1" x14ac:dyDescent="0.35">
      <c r="B115" s="440"/>
      <c r="C115" s="196"/>
      <c r="D115" s="197" t="s">
        <v>392</v>
      </c>
      <c r="E115" s="192"/>
      <c r="F115" s="225" t="e">
        <f>(F111*$F$38/$F$46)</f>
        <v>#N/A</v>
      </c>
      <c r="G115" s="213" t="s">
        <v>19</v>
      </c>
      <c r="H115" s="196"/>
      <c r="I115" s="431"/>
      <c r="J115" s="431"/>
      <c r="K115" s="431"/>
      <c r="L115" s="221"/>
      <c r="M115" s="173"/>
      <c r="N115" s="94"/>
      <c r="R115" s="206" t="s">
        <v>394</v>
      </c>
      <c r="S115" s="207"/>
      <c r="T115" s="230" t="e">
        <f>F115/$F$32</f>
        <v>#N/A</v>
      </c>
      <c r="AN115" s="287"/>
    </row>
    <row r="116" spans="2:40" ht="18" customHeight="1" thickBot="1" x14ac:dyDescent="0.3">
      <c r="B116" s="1"/>
      <c r="C116" s="11"/>
      <c r="D116" s="95"/>
      <c r="E116" s="94"/>
      <c r="F116" s="96"/>
      <c r="G116" s="97"/>
      <c r="H116" s="84"/>
      <c r="I116" s="84"/>
      <c r="J116" s="84"/>
      <c r="K116" s="181"/>
      <c r="L116" s="180"/>
      <c r="M116" s="173"/>
      <c r="N116" s="84"/>
      <c r="AN116" s="287"/>
    </row>
    <row r="117" spans="2:40" ht="18.75" customHeight="1" thickBot="1" x14ac:dyDescent="0.3">
      <c r="B117" s="440" t="s">
        <v>393</v>
      </c>
      <c r="C117" s="198"/>
      <c r="D117" s="199" t="s">
        <v>390</v>
      </c>
      <c r="E117" s="196"/>
      <c r="F117" s="226">
        <v>20000</v>
      </c>
      <c r="G117" s="214" t="s">
        <v>19</v>
      </c>
      <c r="H117" s="220"/>
      <c r="I117" s="431" t="e">
        <f>IF(T121&lt;=0.75,$R$51,IF(T121&lt;=0.9,$R$52,IF(T121&lt;1,$R$53,IF(T121&gt;=1,$R$54))))</f>
        <v>#N/A</v>
      </c>
      <c r="J117" s="431"/>
      <c r="K117" s="431"/>
      <c r="L117" s="221"/>
      <c r="M117" s="174"/>
      <c r="N117" s="84"/>
      <c r="AN117" s="287"/>
    </row>
    <row r="118" spans="2:40" ht="3.75" customHeight="1" thickBot="1" x14ac:dyDescent="0.3">
      <c r="B118" s="440"/>
      <c r="C118" s="198"/>
      <c r="D118" s="188"/>
      <c r="E118" s="201"/>
      <c r="F118" s="202"/>
      <c r="G118" s="215"/>
      <c r="H118" s="220"/>
      <c r="I118" s="431"/>
      <c r="J118" s="431"/>
      <c r="K118" s="431"/>
      <c r="L118" s="221"/>
      <c r="M118" s="174"/>
      <c r="N118" s="84"/>
      <c r="AN118" s="287"/>
    </row>
    <row r="119" spans="2:40" ht="18.75" customHeight="1" thickBot="1" x14ac:dyDescent="0.35">
      <c r="B119" s="440"/>
      <c r="C119" s="198"/>
      <c r="D119" s="188" t="s">
        <v>391</v>
      </c>
      <c r="E119" s="198"/>
      <c r="F119" s="225" t="e">
        <f>(F117*$F$48/$F$46)</f>
        <v>#N/A</v>
      </c>
      <c r="G119" s="210" t="s">
        <v>16</v>
      </c>
      <c r="H119" s="222"/>
      <c r="I119" s="431"/>
      <c r="J119" s="431"/>
      <c r="K119" s="431"/>
      <c r="L119" s="221"/>
      <c r="M119" s="174"/>
      <c r="N119" s="84"/>
      <c r="AN119" s="287"/>
    </row>
    <row r="120" spans="2:40" ht="3.75" customHeight="1" thickBot="1" x14ac:dyDescent="0.3">
      <c r="B120" s="440"/>
      <c r="C120" s="201"/>
      <c r="D120" s="203"/>
      <c r="E120" s="198"/>
      <c r="F120" s="204"/>
      <c r="G120" s="216"/>
      <c r="H120" s="223"/>
      <c r="I120" s="431"/>
      <c r="J120" s="431"/>
      <c r="K120" s="431"/>
      <c r="L120" s="221"/>
      <c r="M120" s="175"/>
      <c r="N120" s="84"/>
      <c r="AN120" s="287"/>
    </row>
    <row r="121" spans="2:40" ht="18" customHeight="1" thickBot="1" x14ac:dyDescent="0.35">
      <c r="B121" s="440"/>
      <c r="C121" s="205"/>
      <c r="D121" s="188" t="s">
        <v>392</v>
      </c>
      <c r="E121" s="198"/>
      <c r="F121" s="225" t="e">
        <f>(F117*$F$38/$F$46)</f>
        <v>#N/A</v>
      </c>
      <c r="G121" s="213" t="s">
        <v>19</v>
      </c>
      <c r="H121" s="223"/>
      <c r="I121" s="431"/>
      <c r="J121" s="431"/>
      <c r="K121" s="431"/>
      <c r="L121" s="221"/>
      <c r="M121" s="175"/>
      <c r="N121" s="84"/>
      <c r="R121" s="206" t="s">
        <v>395</v>
      </c>
      <c r="S121" s="209"/>
      <c r="T121" s="230" t="e">
        <f>F121/$F$32</f>
        <v>#N/A</v>
      </c>
      <c r="AN121" s="287"/>
    </row>
    <row r="122" spans="2:40" ht="3.75" customHeight="1" thickBot="1" x14ac:dyDescent="0.3">
      <c r="B122" s="59"/>
      <c r="C122" s="60"/>
      <c r="D122" s="61"/>
      <c r="E122" s="60"/>
      <c r="F122" s="62"/>
      <c r="G122" s="60"/>
      <c r="H122" s="184"/>
      <c r="I122" s="184"/>
      <c r="J122" s="184"/>
      <c r="K122" s="185"/>
      <c r="L122" s="186"/>
      <c r="M122" s="171"/>
      <c r="N122" s="164"/>
      <c r="AN122" s="287"/>
    </row>
    <row r="123" spans="2:40" ht="18" customHeight="1" thickTop="1" thickBot="1" x14ac:dyDescent="0.3">
      <c r="B123" s="160"/>
      <c r="C123" s="161"/>
      <c r="D123" s="162"/>
      <c r="E123" s="161"/>
      <c r="F123" s="163"/>
      <c r="G123" s="161"/>
      <c r="H123" s="164"/>
      <c r="I123" s="164"/>
      <c r="J123" s="164"/>
      <c r="K123" s="171"/>
      <c r="L123" s="171"/>
      <c r="M123" s="171"/>
      <c r="N123" s="164"/>
      <c r="S123" s="286" t="s">
        <v>381</v>
      </c>
      <c r="T123" s="142"/>
      <c r="AN123" s="287"/>
    </row>
    <row r="124" spans="2:40" ht="36" customHeight="1" thickTop="1" x14ac:dyDescent="0.25">
      <c r="B124" s="244" t="s">
        <v>404</v>
      </c>
      <c r="C124" s="248"/>
      <c r="D124" s="248"/>
      <c r="E124" s="248"/>
      <c r="F124" s="248"/>
      <c r="G124" s="248"/>
      <c r="H124" s="246"/>
      <c r="I124" s="246"/>
      <c r="J124" s="246"/>
      <c r="K124" s="246"/>
      <c r="L124" s="247"/>
      <c r="M124" s="177"/>
      <c r="N124" s="168"/>
      <c r="R124" s="165" t="s">
        <v>382</v>
      </c>
      <c r="S124" s="64">
        <f>IF($F$26&lt;=300,4000,IF($F$26&lt;=800,6000,IF($F$26&lt;=2000,10000,IF($F$26&gt;2000,15000))))</f>
        <v>4000</v>
      </c>
      <c r="T124" s="143"/>
      <c r="AN124" s="287"/>
    </row>
    <row r="125" spans="2:40" ht="18.75" customHeight="1" thickBot="1" x14ac:dyDescent="0.3">
      <c r="B125" s="443" t="s">
        <v>425</v>
      </c>
      <c r="C125" s="444"/>
      <c r="D125" s="444"/>
      <c r="E125" s="444"/>
      <c r="F125" s="444"/>
      <c r="G125" s="444"/>
      <c r="H125" s="444"/>
      <c r="I125" s="444"/>
      <c r="J125" s="444"/>
      <c r="K125" s="444"/>
      <c r="L125" s="449"/>
      <c r="M125" s="171"/>
      <c r="N125" s="164"/>
      <c r="R125" s="81"/>
      <c r="T125" s="128"/>
      <c r="AN125" s="287"/>
    </row>
    <row r="126" spans="2:40" ht="18.75" customHeight="1" thickBot="1" x14ac:dyDescent="0.35">
      <c r="B126" s="1"/>
      <c r="C126" s="2"/>
      <c r="D126" s="17" t="s">
        <v>319</v>
      </c>
      <c r="E126" s="2"/>
      <c r="F126" s="103" t="s">
        <v>323</v>
      </c>
      <c r="G126" s="14" t="s">
        <v>321</v>
      </c>
      <c r="H126" s="38"/>
      <c r="I126" s="445" t="s">
        <v>396</v>
      </c>
      <c r="J126" s="445"/>
      <c r="K126" s="445"/>
      <c r="L126" s="217"/>
      <c r="M126" s="172"/>
      <c r="N126" s="38"/>
      <c r="R126" s="81"/>
      <c r="T126" s="128"/>
      <c r="AN126" s="287"/>
    </row>
    <row r="127" spans="2:40" ht="18" customHeight="1" thickBot="1" x14ac:dyDescent="0.35">
      <c r="B127" s="50"/>
      <c r="C127" s="227"/>
      <c r="D127" s="14"/>
      <c r="E127" s="2"/>
      <c r="F127" s="57"/>
      <c r="G127" s="14"/>
      <c r="H127" s="227"/>
      <c r="I127" s="227"/>
      <c r="J127" s="46"/>
      <c r="K127" s="172"/>
      <c r="L127" s="217"/>
      <c r="M127" s="172"/>
      <c r="N127" s="46"/>
      <c r="R127" s="81"/>
      <c r="T127" s="128"/>
      <c r="AN127" s="287"/>
    </row>
    <row r="128" spans="2:40" ht="18.75" customHeight="1" thickBot="1" x14ac:dyDescent="0.3">
      <c r="B128" s="440" t="s">
        <v>389</v>
      </c>
      <c r="C128" s="187"/>
      <c r="D128" s="188" t="s">
        <v>390</v>
      </c>
      <c r="E128" s="189"/>
      <c r="F128" s="224">
        <f>S124</f>
        <v>4000</v>
      </c>
      <c r="G128" s="210" t="s">
        <v>19</v>
      </c>
      <c r="H128" s="220"/>
      <c r="I128" s="431" t="e">
        <f>IF(T132&lt;=0.75,$R$51,IF(T132&lt;=0.9,$R$52,IF(T132&lt;1,$R$53,IF(T132&gt;=1,$R$54))))</f>
        <v>#N/A</v>
      </c>
      <c r="J128" s="431"/>
      <c r="K128" s="431"/>
      <c r="L128" s="221"/>
      <c r="M128" s="173"/>
      <c r="N128" s="46"/>
      <c r="AN128" s="287"/>
    </row>
    <row r="129" spans="2:40" ht="3.75" customHeight="1" thickBot="1" x14ac:dyDescent="0.35">
      <c r="B129" s="440"/>
      <c r="C129" s="190"/>
      <c r="D129" s="191"/>
      <c r="E129" s="192"/>
      <c r="F129" s="193"/>
      <c r="G129" s="191"/>
      <c r="H129" s="190"/>
      <c r="I129" s="431"/>
      <c r="J129" s="431"/>
      <c r="K129" s="431"/>
      <c r="L129" s="221"/>
      <c r="M129" s="173"/>
      <c r="N129" s="39"/>
      <c r="R129" s="7">
        <f>IF($F$23&lt;301,2500,IF($F$23&lt;801,4800,IF($F$23&lt;2001,7400,IF($F$23&gt;2000,$R$11))))</f>
        <v>2500</v>
      </c>
      <c r="S129" s="7">
        <f>IF($F$23&lt;301,3600,IF($F$23&lt;801,5400,IF($F$23&lt;2001,8400,IF($F$23&gt;2000,$R$11))))</f>
        <v>3600</v>
      </c>
      <c r="AN129" s="287"/>
    </row>
    <row r="130" spans="2:40" ht="18.75" customHeight="1" thickBot="1" x14ac:dyDescent="0.35">
      <c r="B130" s="440"/>
      <c r="C130" s="190"/>
      <c r="D130" s="194" t="s">
        <v>391</v>
      </c>
      <c r="E130" s="195"/>
      <c r="F130" s="225" t="e">
        <f>(F128*$F$48/$F$46)</f>
        <v>#N/A</v>
      </c>
      <c r="G130" s="211" t="s">
        <v>16</v>
      </c>
      <c r="H130" s="190"/>
      <c r="I130" s="431"/>
      <c r="J130" s="431"/>
      <c r="K130" s="431"/>
      <c r="L130" s="221"/>
      <c r="M130" s="173"/>
      <c r="N130" s="39"/>
      <c r="AN130" s="287"/>
    </row>
    <row r="131" spans="2:40" ht="3.75" customHeight="1" thickBot="1" x14ac:dyDescent="0.35">
      <c r="B131" s="440"/>
      <c r="C131" s="196"/>
      <c r="D131" s="197"/>
      <c r="E131" s="192"/>
      <c r="F131" s="193"/>
      <c r="G131" s="212"/>
      <c r="H131" s="196"/>
      <c r="I131" s="431"/>
      <c r="J131" s="431"/>
      <c r="K131" s="431"/>
      <c r="L131" s="221"/>
      <c r="M131" s="173"/>
      <c r="N131" s="94"/>
      <c r="AN131" s="287"/>
    </row>
    <row r="132" spans="2:40" ht="18.75" customHeight="1" thickBot="1" x14ac:dyDescent="0.35">
      <c r="B132" s="440"/>
      <c r="C132" s="196"/>
      <c r="D132" s="197" t="s">
        <v>392</v>
      </c>
      <c r="E132" s="192"/>
      <c r="F132" s="225" t="e">
        <f>(F128*$F$38/$F$46)</f>
        <v>#N/A</v>
      </c>
      <c r="G132" s="213" t="s">
        <v>19</v>
      </c>
      <c r="H132" s="196"/>
      <c r="I132" s="431"/>
      <c r="J132" s="431"/>
      <c r="K132" s="431"/>
      <c r="L132" s="221"/>
      <c r="M132" s="173"/>
      <c r="N132" s="94"/>
      <c r="R132" s="206" t="s">
        <v>394</v>
      </c>
      <c r="S132" s="207"/>
      <c r="T132" s="230" t="e">
        <f>F132/$F$32</f>
        <v>#N/A</v>
      </c>
      <c r="AN132" s="287"/>
    </row>
    <row r="133" spans="2:40" ht="18" customHeight="1" thickBot="1" x14ac:dyDescent="0.3">
      <c r="B133" s="1"/>
      <c r="C133" s="11"/>
      <c r="D133" s="95"/>
      <c r="E133" s="94"/>
      <c r="F133" s="96"/>
      <c r="G133" s="97"/>
      <c r="H133" s="84"/>
      <c r="I133" s="84"/>
      <c r="J133" s="84"/>
      <c r="K133" s="181"/>
      <c r="L133" s="180"/>
      <c r="M133" s="173"/>
      <c r="N133" s="84"/>
      <c r="AN133" s="287"/>
    </row>
    <row r="134" spans="2:40" ht="18.75" customHeight="1" thickBot="1" x14ac:dyDescent="0.3">
      <c r="B134" s="440" t="s">
        <v>393</v>
      </c>
      <c r="C134" s="198"/>
      <c r="D134" s="199" t="s">
        <v>390</v>
      </c>
      <c r="E134" s="196"/>
      <c r="F134" s="226">
        <v>40000</v>
      </c>
      <c r="G134" s="214" t="s">
        <v>19</v>
      </c>
      <c r="H134" s="220"/>
      <c r="I134" s="431" t="e">
        <f>IF(T138&lt;=0.75,$R$51,IF(T138&lt;=0.9,$R$52,IF(T138&lt;1,$R$53,IF(T138&gt;=1,$R$54))))</f>
        <v>#N/A</v>
      </c>
      <c r="J134" s="431"/>
      <c r="K134" s="431"/>
      <c r="L134" s="221"/>
      <c r="M134" s="174"/>
      <c r="N134" s="84"/>
      <c r="AN134" s="287"/>
    </row>
    <row r="135" spans="2:40" ht="3.75" customHeight="1" thickBot="1" x14ac:dyDescent="0.3">
      <c r="B135" s="440"/>
      <c r="C135" s="198"/>
      <c r="D135" s="188"/>
      <c r="E135" s="201"/>
      <c r="F135" s="202"/>
      <c r="G135" s="215"/>
      <c r="H135" s="220"/>
      <c r="I135" s="431"/>
      <c r="J135" s="431"/>
      <c r="K135" s="431"/>
      <c r="L135" s="221"/>
      <c r="M135" s="174"/>
      <c r="N135" s="84"/>
      <c r="AN135" s="287"/>
    </row>
    <row r="136" spans="2:40" ht="18.75" customHeight="1" thickBot="1" x14ac:dyDescent="0.35">
      <c r="B136" s="440"/>
      <c r="C136" s="198"/>
      <c r="D136" s="188" t="s">
        <v>391</v>
      </c>
      <c r="E136" s="198"/>
      <c r="F136" s="225" t="e">
        <f>(F134*$F$48/$F$46)</f>
        <v>#N/A</v>
      </c>
      <c r="G136" s="210" t="s">
        <v>16</v>
      </c>
      <c r="H136" s="222"/>
      <c r="I136" s="431"/>
      <c r="J136" s="431"/>
      <c r="K136" s="431"/>
      <c r="L136" s="221"/>
      <c r="M136" s="174"/>
      <c r="N136" s="84"/>
      <c r="AN136" s="287"/>
    </row>
    <row r="137" spans="2:40" ht="3.75" customHeight="1" thickBot="1" x14ac:dyDescent="0.3">
      <c r="B137" s="440"/>
      <c r="C137" s="201"/>
      <c r="D137" s="203"/>
      <c r="E137" s="198"/>
      <c r="F137" s="204"/>
      <c r="G137" s="216"/>
      <c r="H137" s="223"/>
      <c r="I137" s="431"/>
      <c r="J137" s="431"/>
      <c r="K137" s="431"/>
      <c r="L137" s="221"/>
      <c r="M137" s="175"/>
      <c r="N137" s="84"/>
      <c r="AN137" s="287"/>
    </row>
    <row r="138" spans="2:40" ht="18" customHeight="1" thickBot="1" x14ac:dyDescent="0.35">
      <c r="B138" s="440"/>
      <c r="C138" s="205"/>
      <c r="D138" s="188" t="s">
        <v>392</v>
      </c>
      <c r="E138" s="198"/>
      <c r="F138" s="225" t="e">
        <f>(F134*$F$38/$F$46)</f>
        <v>#N/A</v>
      </c>
      <c r="G138" s="213" t="s">
        <v>19</v>
      </c>
      <c r="H138" s="223"/>
      <c r="I138" s="431"/>
      <c r="J138" s="431"/>
      <c r="K138" s="431"/>
      <c r="L138" s="221"/>
      <c r="M138" s="175"/>
      <c r="N138" s="84"/>
      <c r="R138" s="206" t="s">
        <v>395</v>
      </c>
      <c r="S138" s="207"/>
      <c r="T138" s="230" t="e">
        <f>F138/$F$32</f>
        <v>#N/A</v>
      </c>
      <c r="AN138" s="287"/>
    </row>
    <row r="139" spans="2:40" ht="3.75" customHeight="1" thickBot="1" x14ac:dyDescent="0.3">
      <c r="B139" s="59"/>
      <c r="C139" s="60"/>
      <c r="D139" s="61"/>
      <c r="E139" s="60"/>
      <c r="F139" s="62"/>
      <c r="G139" s="60"/>
      <c r="H139" s="184"/>
      <c r="I139" s="184"/>
      <c r="J139" s="184"/>
      <c r="K139" s="185"/>
      <c r="L139" s="186"/>
      <c r="M139" s="171"/>
      <c r="N139" s="164"/>
      <c r="AN139" s="287"/>
    </row>
    <row r="140" spans="2:40" ht="18" customHeight="1" thickTop="1" thickBot="1" x14ac:dyDescent="0.3">
      <c r="B140" s="38"/>
      <c r="C140" s="43"/>
      <c r="D140" s="20"/>
      <c r="E140" s="43"/>
      <c r="F140" s="80"/>
      <c r="G140" s="43"/>
      <c r="H140" s="164"/>
      <c r="I140" s="164"/>
      <c r="J140" s="164"/>
      <c r="K140" s="171"/>
      <c r="L140" s="171"/>
      <c r="M140" s="171"/>
      <c r="N140" s="164"/>
      <c r="AN140" s="287"/>
    </row>
    <row r="141" spans="2:40" ht="36" customHeight="1" thickTop="1" x14ac:dyDescent="0.25">
      <c r="B141" s="244" t="s">
        <v>405</v>
      </c>
      <c r="C141" s="248"/>
      <c r="D141" s="248"/>
      <c r="E141" s="248"/>
      <c r="F141" s="248"/>
      <c r="G141" s="248"/>
      <c r="H141" s="246"/>
      <c r="I141" s="246"/>
      <c r="J141" s="246"/>
      <c r="K141" s="246"/>
      <c r="L141" s="247"/>
      <c r="M141" s="177"/>
      <c r="N141" s="168"/>
      <c r="R141" s="81"/>
      <c r="S141" s="2"/>
      <c r="T141" s="143"/>
      <c r="AN141" s="287"/>
    </row>
    <row r="142" spans="2:40" ht="18.75" customHeight="1" x14ac:dyDescent="0.25">
      <c r="B142" s="470" t="s">
        <v>416</v>
      </c>
      <c r="C142" s="471"/>
      <c r="D142" s="471"/>
      <c r="E142" s="471"/>
      <c r="F142" s="471"/>
      <c r="G142" s="471"/>
      <c r="H142" s="471"/>
      <c r="I142" s="471"/>
      <c r="J142" s="471"/>
      <c r="K142" s="471"/>
      <c r="L142" s="472"/>
      <c r="M142" s="171"/>
      <c r="N142" s="164"/>
      <c r="R142" s="81"/>
      <c r="S142" s="2"/>
      <c r="T142" s="143"/>
      <c r="AN142" s="287"/>
    </row>
    <row r="143" spans="2:40" ht="18.75" customHeight="1" x14ac:dyDescent="0.25">
      <c r="B143" s="470"/>
      <c r="C143" s="471"/>
      <c r="D143" s="471"/>
      <c r="E143" s="471"/>
      <c r="F143" s="471"/>
      <c r="G143" s="471"/>
      <c r="H143" s="471"/>
      <c r="I143" s="471"/>
      <c r="J143" s="471"/>
      <c r="K143" s="471"/>
      <c r="L143" s="472"/>
      <c r="M143" s="172"/>
      <c r="N143" s="38"/>
      <c r="R143" s="81"/>
      <c r="S143" s="2"/>
      <c r="T143" s="143"/>
      <c r="AN143" s="287"/>
    </row>
    <row r="144" spans="2:40" ht="18" customHeight="1" x14ac:dyDescent="0.25">
      <c r="B144" s="470"/>
      <c r="C144" s="471"/>
      <c r="D144" s="471"/>
      <c r="E144" s="471"/>
      <c r="F144" s="471"/>
      <c r="G144" s="471"/>
      <c r="H144" s="471"/>
      <c r="I144" s="471"/>
      <c r="J144" s="471"/>
      <c r="K144" s="471"/>
      <c r="L144" s="472"/>
      <c r="M144" s="172"/>
      <c r="N144" s="46"/>
      <c r="R144" s="81"/>
      <c r="S144" s="2"/>
      <c r="T144" s="143"/>
      <c r="AN144" s="287"/>
    </row>
    <row r="145" spans="2:40" ht="3.75" customHeight="1" thickBot="1" x14ac:dyDescent="0.3">
      <c r="B145" s="59"/>
      <c r="C145" s="60"/>
      <c r="D145" s="61"/>
      <c r="E145" s="60"/>
      <c r="F145" s="62"/>
      <c r="G145" s="60"/>
      <c r="H145" s="184"/>
      <c r="I145" s="184"/>
      <c r="J145" s="184"/>
      <c r="K145" s="185"/>
      <c r="L145" s="186"/>
      <c r="M145" s="171"/>
      <c r="N145" s="164"/>
      <c r="AN145" s="287"/>
    </row>
    <row r="146" spans="2:40" ht="18.75" customHeight="1" thickTop="1" thickBot="1" x14ac:dyDescent="0.3">
      <c r="D146" s="49"/>
      <c r="E146" s="236"/>
      <c r="H146" s="84"/>
      <c r="I146" s="236"/>
      <c r="J146" s="236"/>
      <c r="K146" s="178"/>
      <c r="L146" s="178"/>
      <c r="M146" s="178"/>
      <c r="N146" s="236"/>
      <c r="S146" s="126" t="s">
        <v>383</v>
      </c>
      <c r="T146" s="126" t="s">
        <v>385</v>
      </c>
      <c r="AN146" s="287"/>
    </row>
    <row r="147" spans="2:40" ht="36" customHeight="1" thickTop="1" x14ac:dyDescent="0.25">
      <c r="B147" s="441" t="s">
        <v>406</v>
      </c>
      <c r="C147" s="442"/>
      <c r="D147" s="442"/>
      <c r="E147" s="442"/>
      <c r="F147" s="442"/>
      <c r="G147" s="442"/>
      <c r="H147" s="446" t="s">
        <v>401</v>
      </c>
      <c r="I147" s="446"/>
      <c r="J147" s="446"/>
      <c r="K147" s="446"/>
      <c r="L147" s="447"/>
      <c r="M147" s="170"/>
      <c r="N147" s="167"/>
      <c r="R147" s="165" t="s">
        <v>384</v>
      </c>
      <c r="S147" s="131">
        <f>IF($F$11&lt;24,600,IF($F$11&gt;=24,600+$S$26))</f>
        <v>600</v>
      </c>
      <c r="T147" s="131">
        <f>IF(S147&lt;900,S147,900)</f>
        <v>600</v>
      </c>
      <c r="AN147" s="287"/>
    </row>
    <row r="148" spans="2:40" s="71" customFormat="1" ht="18.75" customHeight="1" thickBot="1" x14ac:dyDescent="0.35">
      <c r="B148" s="443" t="str">
        <f>IF($F$26&lt;=150," ",IF($F$26&lt;=250,"PRESSURE IS ABOVE 150 PSIG - CONTACT APPLICATIONS ENGINEERING",IF($F$26&gt;250,"NOT RECOMMENDED FOR THE GIVEN PRESSURE")))</f>
        <v xml:space="preserve"> </v>
      </c>
      <c r="C148" s="444"/>
      <c r="D148" s="444"/>
      <c r="E148" s="444"/>
      <c r="F148" s="444"/>
      <c r="G148" s="444"/>
      <c r="H148" s="444" t="str">
        <f>IF($F$7=$Q$34,"THICKNESS APPLIES TO GYLON EPIX ONLY"," ")</f>
        <v xml:space="preserve"> </v>
      </c>
      <c r="I148" s="444"/>
      <c r="J148" s="444"/>
      <c r="K148" s="444"/>
      <c r="L148" s="449"/>
      <c r="M148" s="174"/>
      <c r="N148" s="169"/>
      <c r="R148" s="81"/>
      <c r="S148" s="2"/>
      <c r="T148" s="143"/>
      <c r="AN148" s="72"/>
    </row>
    <row r="149" spans="2:40" ht="18.75" customHeight="1" thickBot="1" x14ac:dyDescent="0.3">
      <c r="B149" s="58"/>
      <c r="C149" s="42"/>
      <c r="D149" s="15" t="s">
        <v>324</v>
      </c>
      <c r="E149" s="42"/>
      <c r="F149" s="231">
        <f>($F$26)</f>
        <v>0</v>
      </c>
      <c r="G149" s="13" t="s">
        <v>290</v>
      </c>
      <c r="H149" s="84"/>
      <c r="I149" s="84"/>
      <c r="J149" s="84"/>
      <c r="K149" s="182"/>
      <c r="L149" s="183"/>
      <c r="M149" s="174"/>
      <c r="N149" s="236"/>
      <c r="R149" s="81"/>
      <c r="S149" s="2"/>
      <c r="T149" s="143"/>
      <c r="V149" s="7" t="s">
        <v>325</v>
      </c>
      <c r="AN149" s="287"/>
    </row>
    <row r="150" spans="2:40" ht="3.75" customHeight="1" thickBot="1" x14ac:dyDescent="0.3">
      <c r="B150" s="50"/>
      <c r="C150" s="43"/>
      <c r="D150" s="43"/>
      <c r="E150" s="43"/>
      <c r="F150" s="43"/>
      <c r="G150" s="43"/>
      <c r="H150" s="164"/>
      <c r="I150" s="164"/>
      <c r="J150" s="164"/>
      <c r="K150" s="171"/>
      <c r="L150" s="179"/>
      <c r="M150" s="171"/>
      <c r="N150" s="164"/>
      <c r="R150" s="81"/>
      <c r="S150" s="2"/>
      <c r="T150" s="143"/>
      <c r="AN150" s="287"/>
    </row>
    <row r="151" spans="2:40" ht="18.75" customHeight="1" thickBot="1" x14ac:dyDescent="0.35">
      <c r="B151" s="1"/>
      <c r="C151" s="2"/>
      <c r="D151" s="17" t="s">
        <v>319</v>
      </c>
      <c r="E151" s="2"/>
      <c r="F151" s="228">
        <f>(F7)</f>
        <v>0</v>
      </c>
      <c r="G151" s="14" t="s">
        <v>321</v>
      </c>
      <c r="H151" s="38"/>
      <c r="I151" s="445" t="s">
        <v>396</v>
      </c>
      <c r="J151" s="445"/>
      <c r="K151" s="445"/>
      <c r="L151" s="217"/>
      <c r="M151" s="173"/>
      <c r="N151" s="38"/>
      <c r="AN151" s="287"/>
    </row>
    <row r="152" spans="2:40" ht="18" customHeight="1" thickBot="1" x14ac:dyDescent="0.35">
      <c r="B152" s="50"/>
      <c r="C152" s="227"/>
      <c r="D152" s="14"/>
      <c r="E152" s="2"/>
      <c r="F152" s="57"/>
      <c r="G152" s="14"/>
      <c r="H152" s="227"/>
      <c r="I152" s="227"/>
      <c r="J152" s="46"/>
      <c r="K152" s="181"/>
      <c r="L152" s="180"/>
      <c r="M152" s="173"/>
      <c r="N152" s="46"/>
      <c r="AN152" s="287"/>
    </row>
    <row r="153" spans="2:40" ht="18.75" customHeight="1" thickBot="1" x14ac:dyDescent="0.3">
      <c r="B153" s="440" t="s">
        <v>389</v>
      </c>
      <c r="C153" s="187"/>
      <c r="D153" s="188" t="s">
        <v>390</v>
      </c>
      <c r="E153" s="189"/>
      <c r="F153" s="224">
        <f>T147</f>
        <v>600</v>
      </c>
      <c r="G153" s="210" t="s">
        <v>19</v>
      </c>
      <c r="H153" s="220"/>
      <c r="I153" s="431" t="e">
        <f>IF(T157&lt;=0.75,$R$51,IF(T157&lt;=0.9,$R$52,IF(T157&lt;1,$R$53,IF(T157&gt;=1,$R$54))))</f>
        <v>#N/A</v>
      </c>
      <c r="J153" s="431"/>
      <c r="K153" s="431"/>
      <c r="L153" s="221"/>
      <c r="M153" s="173"/>
      <c r="N153" s="46"/>
      <c r="AN153" s="287"/>
    </row>
    <row r="154" spans="2:40" ht="3.75" customHeight="1" thickBot="1" x14ac:dyDescent="0.35">
      <c r="B154" s="440"/>
      <c r="C154" s="190"/>
      <c r="D154" s="191"/>
      <c r="E154" s="192"/>
      <c r="F154" s="193"/>
      <c r="G154" s="191"/>
      <c r="H154" s="190"/>
      <c r="I154" s="431"/>
      <c r="J154" s="431"/>
      <c r="K154" s="431"/>
      <c r="L154" s="221"/>
      <c r="M154" s="173"/>
      <c r="N154" s="39"/>
      <c r="R154" s="7">
        <f>IF($F$23&lt;301,2500,IF($F$23&lt;801,4800,IF($F$23&lt;2001,7400,IF($F$23&gt;2000,$R$11))))</f>
        <v>2500</v>
      </c>
      <c r="S154" s="7">
        <f>IF($F$23&lt;301,3600,IF($F$23&lt;801,5400,IF($F$23&lt;2001,8400,IF($F$23&gt;2000,$R$11))))</f>
        <v>3600</v>
      </c>
      <c r="AN154" s="287"/>
    </row>
    <row r="155" spans="2:40" ht="18.75" customHeight="1" thickBot="1" x14ac:dyDescent="0.35">
      <c r="B155" s="440"/>
      <c r="C155" s="190"/>
      <c r="D155" s="194" t="s">
        <v>391</v>
      </c>
      <c r="E155" s="195"/>
      <c r="F155" s="225" t="e">
        <f>(F153*$F$48/$F$46)</f>
        <v>#N/A</v>
      </c>
      <c r="G155" s="211" t="s">
        <v>16</v>
      </c>
      <c r="H155" s="190"/>
      <c r="I155" s="431"/>
      <c r="J155" s="431"/>
      <c r="K155" s="431"/>
      <c r="L155" s="221"/>
      <c r="M155" s="173"/>
      <c r="N155" s="39"/>
      <c r="AN155" s="287"/>
    </row>
    <row r="156" spans="2:40" ht="3.75" customHeight="1" thickBot="1" x14ac:dyDescent="0.35">
      <c r="B156" s="440"/>
      <c r="C156" s="196"/>
      <c r="D156" s="197"/>
      <c r="E156" s="192"/>
      <c r="F156" s="193"/>
      <c r="G156" s="212"/>
      <c r="H156" s="196"/>
      <c r="I156" s="431"/>
      <c r="J156" s="431"/>
      <c r="K156" s="431"/>
      <c r="L156" s="221"/>
      <c r="M156" s="173"/>
      <c r="N156" s="94"/>
      <c r="AN156" s="287"/>
    </row>
    <row r="157" spans="2:40" ht="18.75" customHeight="1" thickBot="1" x14ac:dyDescent="0.35">
      <c r="B157" s="440"/>
      <c r="C157" s="196"/>
      <c r="D157" s="197" t="s">
        <v>392</v>
      </c>
      <c r="E157" s="192"/>
      <c r="F157" s="225" t="e">
        <f>(F153*$F$38/$F$46)</f>
        <v>#N/A</v>
      </c>
      <c r="G157" s="213" t="s">
        <v>19</v>
      </c>
      <c r="H157" s="196"/>
      <c r="I157" s="431"/>
      <c r="J157" s="431"/>
      <c r="K157" s="431"/>
      <c r="L157" s="221"/>
      <c r="M157" s="173"/>
      <c r="N157" s="94"/>
      <c r="R157" s="206" t="s">
        <v>394</v>
      </c>
      <c r="S157" s="207"/>
      <c r="T157" s="230" t="e">
        <f>F157/$F$32</f>
        <v>#N/A</v>
      </c>
      <c r="AN157" s="287"/>
    </row>
    <row r="158" spans="2:40" ht="18" customHeight="1" thickBot="1" x14ac:dyDescent="0.3">
      <c r="B158" s="1"/>
      <c r="C158" s="11"/>
      <c r="D158" s="95"/>
      <c r="E158" s="94"/>
      <c r="F158" s="96"/>
      <c r="G158" s="97"/>
      <c r="H158" s="84"/>
      <c r="I158" s="84"/>
      <c r="J158" s="84"/>
      <c r="K158" s="181"/>
      <c r="L158" s="180"/>
      <c r="M158" s="173"/>
      <c r="N158" s="84"/>
      <c r="AN158" s="287"/>
    </row>
    <row r="159" spans="2:40" ht="18.75" customHeight="1" thickBot="1" x14ac:dyDescent="0.3">
      <c r="B159" s="440" t="s">
        <v>393</v>
      </c>
      <c r="C159" s="198"/>
      <c r="D159" s="199" t="s">
        <v>390</v>
      </c>
      <c r="E159" s="196"/>
      <c r="F159" s="226">
        <v>900</v>
      </c>
      <c r="G159" s="214" t="s">
        <v>19</v>
      </c>
      <c r="H159" s="220"/>
      <c r="I159" s="431" t="e">
        <f>IF(T163&lt;=0.75,$R$51,IF(T163&lt;=0.9,$R$52,IF(T163&lt;1,$R$53,IF(T163&gt;=1,$R$54))))</f>
        <v>#N/A</v>
      </c>
      <c r="J159" s="431"/>
      <c r="K159" s="431"/>
      <c r="L159" s="221"/>
      <c r="M159" s="174"/>
      <c r="N159" s="84"/>
      <c r="AN159" s="287"/>
    </row>
    <row r="160" spans="2:40" ht="3.75" customHeight="1" thickBot="1" x14ac:dyDescent="0.3">
      <c r="B160" s="440"/>
      <c r="C160" s="198"/>
      <c r="D160" s="188"/>
      <c r="E160" s="201"/>
      <c r="F160" s="202"/>
      <c r="G160" s="215"/>
      <c r="H160" s="220"/>
      <c r="I160" s="431"/>
      <c r="J160" s="431"/>
      <c r="K160" s="431"/>
      <c r="L160" s="221"/>
      <c r="M160" s="174"/>
      <c r="N160" s="84"/>
      <c r="AN160" s="287"/>
    </row>
    <row r="161" spans="2:40" ht="18.75" customHeight="1" thickBot="1" x14ac:dyDescent="0.35">
      <c r="B161" s="440"/>
      <c r="C161" s="198"/>
      <c r="D161" s="188" t="s">
        <v>391</v>
      </c>
      <c r="E161" s="198"/>
      <c r="F161" s="225" t="e">
        <f>(F159*$F$48/$F$46)</f>
        <v>#N/A</v>
      </c>
      <c r="G161" s="210" t="s">
        <v>16</v>
      </c>
      <c r="H161" s="222"/>
      <c r="I161" s="431"/>
      <c r="J161" s="431"/>
      <c r="K161" s="431"/>
      <c r="L161" s="221"/>
      <c r="M161" s="174"/>
      <c r="N161" s="84"/>
      <c r="AN161" s="287"/>
    </row>
    <row r="162" spans="2:40" ht="3.75" customHeight="1" thickBot="1" x14ac:dyDescent="0.3">
      <c r="B162" s="440"/>
      <c r="C162" s="201"/>
      <c r="D162" s="203"/>
      <c r="E162" s="198"/>
      <c r="F162" s="204"/>
      <c r="G162" s="216"/>
      <c r="H162" s="223"/>
      <c r="I162" s="431"/>
      <c r="J162" s="431"/>
      <c r="K162" s="431"/>
      <c r="L162" s="221"/>
      <c r="M162" s="175"/>
      <c r="N162" s="84"/>
      <c r="AN162" s="287"/>
    </row>
    <row r="163" spans="2:40" ht="18.75" customHeight="1" thickBot="1" x14ac:dyDescent="0.35">
      <c r="B163" s="440"/>
      <c r="C163" s="205"/>
      <c r="D163" s="188" t="s">
        <v>392</v>
      </c>
      <c r="E163" s="198"/>
      <c r="F163" s="225" t="e">
        <f>(F159*$F$38/$F$46)</f>
        <v>#N/A</v>
      </c>
      <c r="G163" s="213" t="s">
        <v>19</v>
      </c>
      <c r="H163" s="223"/>
      <c r="I163" s="431"/>
      <c r="J163" s="431"/>
      <c r="K163" s="431"/>
      <c r="L163" s="221"/>
      <c r="M163" s="175"/>
      <c r="N163" s="84"/>
      <c r="R163" s="206" t="s">
        <v>395</v>
      </c>
      <c r="S163" s="207"/>
      <c r="T163" s="230" t="e">
        <f>F163/$F$32</f>
        <v>#N/A</v>
      </c>
      <c r="AN163" s="287"/>
    </row>
    <row r="164" spans="2:40" ht="3.75" customHeight="1" thickBot="1" x14ac:dyDescent="0.3">
      <c r="B164" s="59"/>
      <c r="C164" s="60"/>
      <c r="D164" s="61"/>
      <c r="E164" s="60"/>
      <c r="F164" s="62"/>
      <c r="G164" s="60"/>
      <c r="H164" s="184"/>
      <c r="I164" s="184"/>
      <c r="J164" s="184"/>
      <c r="K164" s="185"/>
      <c r="L164" s="186"/>
      <c r="M164" s="171"/>
      <c r="N164" s="164"/>
      <c r="AN164" s="287"/>
    </row>
    <row r="165" spans="2:40" ht="18.75" customHeight="1" thickTop="1" thickBot="1" x14ac:dyDescent="0.3">
      <c r="B165" s="274"/>
      <c r="C165" s="274"/>
      <c r="D165" s="274"/>
      <c r="E165" s="274"/>
      <c r="F165" s="274"/>
      <c r="G165" s="274"/>
      <c r="H165" s="175"/>
      <c r="I165" s="178"/>
      <c r="J165" s="178"/>
      <c r="K165" s="178"/>
      <c r="L165" s="178"/>
      <c r="M165" s="178"/>
      <c r="N165" s="236"/>
      <c r="S165" s="126" t="s">
        <v>383</v>
      </c>
      <c r="T165" s="126" t="s">
        <v>385</v>
      </c>
      <c r="AN165" s="287"/>
    </row>
    <row r="166" spans="2:40" ht="36" customHeight="1" thickTop="1" x14ac:dyDescent="0.25">
      <c r="B166" s="441" t="s">
        <v>407</v>
      </c>
      <c r="C166" s="442"/>
      <c r="D166" s="442"/>
      <c r="E166" s="442"/>
      <c r="F166" s="442"/>
      <c r="G166" s="442"/>
      <c r="H166" s="446" t="s">
        <v>401</v>
      </c>
      <c r="I166" s="446"/>
      <c r="J166" s="446"/>
      <c r="K166" s="446"/>
      <c r="L166" s="447"/>
      <c r="M166" s="170"/>
      <c r="N166" s="167"/>
      <c r="R166" s="165" t="s">
        <v>386</v>
      </c>
      <c r="S166" s="131">
        <f>IF($F$11&lt;24,600,IF($F$11&gt;=24,600+$S$26))</f>
        <v>600</v>
      </c>
      <c r="T166" s="131">
        <f>IF(S166&lt;1200,S166,1200)</f>
        <v>600</v>
      </c>
      <c r="AN166" s="287"/>
    </row>
    <row r="167" spans="2:40" ht="18.75" customHeight="1" thickBot="1" x14ac:dyDescent="0.35">
      <c r="B167" s="443" t="str">
        <f>IF($F$26&lt;=150," ",IF($F$26&lt;=250,"PRESSURE IS ABOVE 150 PSIG - CONTACT APPLICATIONS ENGINEERING",IF($F$26&gt;250,"NOT RECOMMENDED FOR THE GIVEN PRESSURE")))</f>
        <v xml:space="preserve"> </v>
      </c>
      <c r="C167" s="444"/>
      <c r="D167" s="444"/>
      <c r="E167" s="444"/>
      <c r="F167" s="444"/>
      <c r="G167" s="444"/>
      <c r="H167" s="444" t="str">
        <f>IF($F$7=$Q$34,"THICKNESS APPLIES TO GYLON EPIX ONLY"," ")</f>
        <v xml:space="preserve"> </v>
      </c>
      <c r="I167" s="444"/>
      <c r="J167" s="444"/>
      <c r="K167" s="444"/>
      <c r="L167" s="449"/>
      <c r="M167" s="174"/>
      <c r="N167" s="169"/>
      <c r="AN167" s="287"/>
    </row>
    <row r="168" spans="2:40" ht="18.75" customHeight="1" thickBot="1" x14ac:dyDescent="0.3">
      <c r="B168" s="58"/>
      <c r="C168" s="42"/>
      <c r="D168" s="15" t="s">
        <v>324</v>
      </c>
      <c r="E168" s="42"/>
      <c r="F168" s="231">
        <f>($F$26)</f>
        <v>0</v>
      </c>
      <c r="G168" s="13" t="s">
        <v>290</v>
      </c>
      <c r="H168" s="84"/>
      <c r="I168" s="84"/>
      <c r="J168" s="84"/>
      <c r="K168" s="182"/>
      <c r="L168" s="183"/>
      <c r="M168" s="174"/>
      <c r="N168" s="236"/>
      <c r="AN168" s="287"/>
    </row>
    <row r="169" spans="2:40" ht="4.2" customHeight="1" thickBot="1" x14ac:dyDescent="0.3">
      <c r="B169" s="50"/>
      <c r="C169" s="43"/>
      <c r="D169" s="43"/>
      <c r="E169" s="43"/>
      <c r="F169" s="43"/>
      <c r="G169" s="43"/>
      <c r="H169" s="164"/>
      <c r="I169" s="164"/>
      <c r="J169" s="164"/>
      <c r="K169" s="171"/>
      <c r="L169" s="179"/>
      <c r="M169" s="171"/>
      <c r="N169" s="164"/>
      <c r="AN169" s="287"/>
    </row>
    <row r="170" spans="2:40" ht="18.75" customHeight="1" thickBot="1" x14ac:dyDescent="0.35">
      <c r="B170" s="1"/>
      <c r="C170" s="2"/>
      <c r="D170" s="17" t="s">
        <v>319</v>
      </c>
      <c r="E170" s="2"/>
      <c r="F170" s="228">
        <f>(F7)</f>
        <v>0</v>
      </c>
      <c r="G170" s="14" t="s">
        <v>321</v>
      </c>
      <c r="H170" s="38"/>
      <c r="I170" s="445" t="s">
        <v>396</v>
      </c>
      <c r="J170" s="445"/>
      <c r="K170" s="445"/>
      <c r="L170" s="217"/>
      <c r="M170" s="173"/>
      <c r="N170" s="38"/>
      <c r="AN170" s="287"/>
    </row>
    <row r="171" spans="2:40" ht="18" customHeight="1" thickBot="1" x14ac:dyDescent="0.35">
      <c r="B171" s="50"/>
      <c r="C171" s="227"/>
      <c r="D171" s="14"/>
      <c r="E171" s="2"/>
      <c r="F171" s="57"/>
      <c r="G171" s="14"/>
      <c r="H171" s="227"/>
      <c r="I171" s="227"/>
      <c r="J171" s="46"/>
      <c r="K171" s="181"/>
      <c r="L171" s="180"/>
      <c r="M171" s="173"/>
      <c r="N171" s="46"/>
      <c r="AN171" s="287"/>
    </row>
    <row r="172" spans="2:40" ht="18.75" customHeight="1" thickBot="1" x14ac:dyDescent="0.3">
      <c r="B172" s="440" t="s">
        <v>389</v>
      </c>
      <c r="C172" s="187"/>
      <c r="D172" s="188" t="s">
        <v>390</v>
      </c>
      <c r="E172" s="189"/>
      <c r="F172" s="224">
        <f>T166</f>
        <v>600</v>
      </c>
      <c r="G172" s="210" t="s">
        <v>19</v>
      </c>
      <c r="H172" s="220"/>
      <c r="I172" s="431" t="e">
        <f>IF(T176&lt;=0.75,$R$51,IF(T176&lt;=0.9,$R$52,IF(T176&lt;1,$R$53,IF(T176&gt;=1,$R$54))))</f>
        <v>#N/A</v>
      </c>
      <c r="J172" s="431"/>
      <c r="K172" s="431"/>
      <c r="L172" s="221"/>
      <c r="M172" s="173"/>
      <c r="N172" s="46"/>
      <c r="AN172" s="287"/>
    </row>
    <row r="173" spans="2:40" ht="4.2" customHeight="1" thickBot="1" x14ac:dyDescent="0.35">
      <c r="B173" s="440"/>
      <c r="C173" s="190"/>
      <c r="D173" s="191"/>
      <c r="E173" s="192"/>
      <c r="F173" s="193"/>
      <c r="G173" s="191"/>
      <c r="H173" s="190"/>
      <c r="I173" s="431"/>
      <c r="J173" s="431"/>
      <c r="K173" s="431"/>
      <c r="L173" s="221"/>
      <c r="M173" s="173"/>
      <c r="N173" s="39"/>
      <c r="R173" s="7">
        <f>IF($F$23&lt;301,2500,IF($F$23&lt;801,4800,IF($F$23&lt;2001,7400,IF($F$23&gt;2000,$R$11))))</f>
        <v>2500</v>
      </c>
      <c r="S173" s="7">
        <f>IF($F$23&lt;301,3600,IF($F$23&lt;801,5400,IF($F$23&lt;2001,8400,IF($F$23&gt;2000,$R$11))))</f>
        <v>3600</v>
      </c>
      <c r="AN173" s="287"/>
    </row>
    <row r="174" spans="2:40" ht="18.75" customHeight="1" thickBot="1" x14ac:dyDescent="0.35">
      <c r="B174" s="440"/>
      <c r="C174" s="190"/>
      <c r="D174" s="194" t="s">
        <v>391</v>
      </c>
      <c r="E174" s="195"/>
      <c r="F174" s="225" t="e">
        <f>(F172*$F$48/$F$46)</f>
        <v>#N/A</v>
      </c>
      <c r="G174" s="211" t="s">
        <v>16</v>
      </c>
      <c r="H174" s="190"/>
      <c r="I174" s="431"/>
      <c r="J174" s="431"/>
      <c r="K174" s="431"/>
      <c r="L174" s="221"/>
      <c r="M174" s="173"/>
      <c r="N174" s="39"/>
      <c r="AN174" s="287"/>
    </row>
    <row r="175" spans="2:40" ht="4.2" customHeight="1" thickBot="1" x14ac:dyDescent="0.35">
      <c r="B175" s="440"/>
      <c r="C175" s="196"/>
      <c r="D175" s="197"/>
      <c r="E175" s="192"/>
      <c r="F175" s="193"/>
      <c r="G175" s="212"/>
      <c r="H175" s="196"/>
      <c r="I175" s="431"/>
      <c r="J175" s="431"/>
      <c r="K175" s="431"/>
      <c r="L175" s="221"/>
      <c r="M175" s="173"/>
      <c r="N175" s="94"/>
      <c r="AN175" s="287"/>
    </row>
    <row r="176" spans="2:40" ht="18.75" customHeight="1" thickBot="1" x14ac:dyDescent="0.35">
      <c r="B176" s="440"/>
      <c r="C176" s="196"/>
      <c r="D176" s="197" t="s">
        <v>392</v>
      </c>
      <c r="E176" s="192"/>
      <c r="F176" s="225" t="e">
        <f>(F172*$F$38/$F$46)</f>
        <v>#N/A</v>
      </c>
      <c r="G176" s="213" t="s">
        <v>19</v>
      </c>
      <c r="H176" s="196"/>
      <c r="I176" s="431"/>
      <c r="J176" s="431"/>
      <c r="K176" s="431"/>
      <c r="L176" s="221"/>
      <c r="M176" s="173"/>
      <c r="N176" s="94"/>
      <c r="R176" s="206" t="s">
        <v>394</v>
      </c>
      <c r="S176" s="207"/>
      <c r="T176" s="230" t="e">
        <f>F176/$F$32</f>
        <v>#N/A</v>
      </c>
      <c r="AN176" s="287"/>
    </row>
    <row r="177" spans="2:40" ht="18" customHeight="1" thickBot="1" x14ac:dyDescent="0.3">
      <c r="B177" s="1"/>
      <c r="C177" s="11"/>
      <c r="D177" s="95"/>
      <c r="E177" s="94"/>
      <c r="F177" s="96"/>
      <c r="G177" s="97"/>
      <c r="H177" s="84"/>
      <c r="I177" s="84"/>
      <c r="J177" s="84"/>
      <c r="K177" s="181"/>
      <c r="L177" s="180"/>
      <c r="M177" s="173"/>
      <c r="N177" s="84"/>
      <c r="AN177" s="287"/>
    </row>
    <row r="178" spans="2:40" ht="18.75" customHeight="1" thickBot="1" x14ac:dyDescent="0.3">
      <c r="B178" s="440" t="s">
        <v>393</v>
      </c>
      <c r="C178" s="198"/>
      <c r="D178" s="199" t="s">
        <v>390</v>
      </c>
      <c r="E178" s="196"/>
      <c r="F178" s="226">
        <v>1200</v>
      </c>
      <c r="G178" s="214" t="s">
        <v>19</v>
      </c>
      <c r="H178" s="220"/>
      <c r="I178" s="431" t="e">
        <f>IF(T182&lt;=0.75,$R$51,IF(T182&lt;=0.9,$R$52,IF(T182&lt;1,$R$53,IF(T182&gt;=1,$R$54))))</f>
        <v>#N/A</v>
      </c>
      <c r="J178" s="431"/>
      <c r="K178" s="431"/>
      <c r="L178" s="221"/>
      <c r="M178" s="174"/>
      <c r="N178" s="84"/>
      <c r="AN178" s="287"/>
    </row>
    <row r="179" spans="2:40" ht="4.2" customHeight="1" thickBot="1" x14ac:dyDescent="0.3">
      <c r="B179" s="440"/>
      <c r="C179" s="198"/>
      <c r="D179" s="188"/>
      <c r="E179" s="201"/>
      <c r="F179" s="202"/>
      <c r="G179" s="215"/>
      <c r="H179" s="220"/>
      <c r="I179" s="431"/>
      <c r="J179" s="431"/>
      <c r="K179" s="431"/>
      <c r="L179" s="221"/>
      <c r="M179" s="174"/>
      <c r="N179" s="84"/>
      <c r="AN179" s="287"/>
    </row>
    <row r="180" spans="2:40" ht="18.75" customHeight="1" thickBot="1" x14ac:dyDescent="0.35">
      <c r="B180" s="440"/>
      <c r="C180" s="198"/>
      <c r="D180" s="188" t="s">
        <v>391</v>
      </c>
      <c r="E180" s="198"/>
      <c r="F180" s="225" t="e">
        <f>(F178*$F$48/$F$46)</f>
        <v>#N/A</v>
      </c>
      <c r="G180" s="210" t="s">
        <v>16</v>
      </c>
      <c r="H180" s="222"/>
      <c r="I180" s="431"/>
      <c r="J180" s="431"/>
      <c r="K180" s="431"/>
      <c r="L180" s="221"/>
      <c r="M180" s="174"/>
      <c r="N180" s="84"/>
      <c r="AN180" s="287"/>
    </row>
    <row r="181" spans="2:40" ht="4.2" customHeight="1" thickBot="1" x14ac:dyDescent="0.3">
      <c r="B181" s="440"/>
      <c r="C181" s="201"/>
      <c r="D181" s="203"/>
      <c r="E181" s="198"/>
      <c r="F181" s="204"/>
      <c r="G181" s="216"/>
      <c r="H181" s="223"/>
      <c r="I181" s="431"/>
      <c r="J181" s="431"/>
      <c r="K181" s="431"/>
      <c r="L181" s="221"/>
      <c r="M181" s="175"/>
      <c r="N181" s="84"/>
      <c r="AN181" s="287"/>
    </row>
    <row r="182" spans="2:40" ht="18.75" customHeight="1" thickBot="1" x14ac:dyDescent="0.35">
      <c r="B182" s="440"/>
      <c r="C182" s="205"/>
      <c r="D182" s="188" t="s">
        <v>392</v>
      </c>
      <c r="E182" s="198"/>
      <c r="F182" s="225" t="e">
        <f>(F178*$F$38/$F$46)</f>
        <v>#N/A</v>
      </c>
      <c r="G182" s="213" t="s">
        <v>19</v>
      </c>
      <c r="H182" s="223"/>
      <c r="I182" s="431"/>
      <c r="J182" s="431"/>
      <c r="K182" s="431"/>
      <c r="L182" s="221"/>
      <c r="M182" s="175"/>
      <c r="N182" s="84"/>
      <c r="R182" s="206" t="s">
        <v>395</v>
      </c>
      <c r="S182" s="207"/>
      <c r="T182" s="230" t="e">
        <f>F182/$F$32</f>
        <v>#N/A</v>
      </c>
      <c r="AN182" s="287"/>
    </row>
    <row r="183" spans="2:40" ht="4.2" customHeight="1" thickBot="1" x14ac:dyDescent="0.3">
      <c r="B183" s="59"/>
      <c r="C183" s="60"/>
      <c r="D183" s="61"/>
      <c r="E183" s="60"/>
      <c r="F183" s="62"/>
      <c r="G183" s="60"/>
      <c r="H183" s="184"/>
      <c r="I183" s="184"/>
      <c r="J183" s="184"/>
      <c r="K183" s="184"/>
      <c r="L183" s="219"/>
      <c r="M183" s="164"/>
      <c r="N183" s="164"/>
      <c r="AN183" s="287"/>
    </row>
    <row r="184" spans="2:40" ht="13.8" thickTop="1" x14ac:dyDescent="0.25"/>
    <row r="185" spans="2:40" hidden="1" x14ac:dyDescent="0.25"/>
    <row r="186" spans="2:40" hidden="1" x14ac:dyDescent="0.25"/>
    <row r="187" spans="2:40" hidden="1" x14ac:dyDescent="0.25"/>
    <row r="188" spans="2:40" hidden="1" x14ac:dyDescent="0.25"/>
    <row r="189" spans="2:40" hidden="1" x14ac:dyDescent="0.25"/>
    <row r="190" spans="2:40" hidden="1" x14ac:dyDescent="0.25"/>
    <row r="191" spans="2:40" hidden="1" x14ac:dyDescent="0.25"/>
    <row r="192" spans="2:40"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spans="27:30" hidden="1" x14ac:dyDescent="0.25"/>
    <row r="226" spans="27:30" hidden="1" x14ac:dyDescent="0.25"/>
    <row r="227" spans="27:30" hidden="1" x14ac:dyDescent="0.25"/>
    <row r="228" spans="27:30" hidden="1" x14ac:dyDescent="0.25"/>
    <row r="229" spans="27:30" hidden="1" x14ac:dyDescent="0.25"/>
    <row r="230" spans="27:30" hidden="1" x14ac:dyDescent="0.25"/>
    <row r="231" spans="27:30" hidden="1" x14ac:dyDescent="0.25"/>
    <row r="232" spans="27:30" hidden="1" x14ac:dyDescent="0.25"/>
    <row r="233" spans="27:30" hidden="1" x14ac:dyDescent="0.25"/>
    <row r="234" spans="27:30" hidden="1" x14ac:dyDescent="0.25"/>
    <row r="235" spans="27:30" hidden="1" x14ac:dyDescent="0.25"/>
    <row r="236" spans="27:30" hidden="1" x14ac:dyDescent="0.25"/>
    <row r="237" spans="27:30" hidden="1" x14ac:dyDescent="0.25"/>
    <row r="238" spans="27:30" hidden="1" x14ac:dyDescent="0.25"/>
    <row r="239" spans="27:30" hidden="1" x14ac:dyDescent="0.25">
      <c r="AA239" s="7" t="s">
        <v>41</v>
      </c>
      <c r="AC239" s="28">
        <v>0.25</v>
      </c>
      <c r="AD239" s="7" t="e">
        <f>LOOKUP($F$30,BOLT!$A$1:$A$39,BOLT!B$1:B$39)</f>
        <v>#N/A</v>
      </c>
    </row>
    <row r="240" spans="27:30" hidden="1" x14ac:dyDescent="0.25">
      <c r="AA240" s="7" t="s">
        <v>42</v>
      </c>
      <c r="AC240" s="28">
        <v>0.3125</v>
      </c>
      <c r="AD240" s="7" t="e">
        <f>LOOKUP($F$30,BOLT!$A$1:$A$39,BOLT!C$1:C$39)</f>
        <v>#N/A</v>
      </c>
    </row>
    <row r="241" spans="27:30" hidden="1" x14ac:dyDescent="0.25">
      <c r="AA241" s="7" t="s">
        <v>43</v>
      </c>
      <c r="AC241" s="28">
        <v>0.375</v>
      </c>
      <c r="AD241" s="7" t="e">
        <f>LOOKUP($F$30,BOLT!$A$1:$A$39,BOLT!D$1:D$39)</f>
        <v>#N/A</v>
      </c>
    </row>
    <row r="242" spans="27:30" hidden="1" x14ac:dyDescent="0.25">
      <c r="AA242" s="7" t="s">
        <v>44</v>
      </c>
      <c r="AC242" s="28">
        <v>0.4375</v>
      </c>
      <c r="AD242" s="7" t="e">
        <f>LOOKUP($F$30,BOLT!$A$1:$A$39,BOLT!E$1:E$39)</f>
        <v>#N/A</v>
      </c>
    </row>
    <row r="243" spans="27:30" hidden="1" x14ac:dyDescent="0.25">
      <c r="AA243" s="7" t="s">
        <v>45</v>
      </c>
      <c r="AC243" s="28">
        <v>0.5</v>
      </c>
      <c r="AD243" s="7" t="e">
        <f>LOOKUP($F$30,BOLT!$A$1:$A$39,BOLT!F$1:F$39)</f>
        <v>#N/A</v>
      </c>
    </row>
    <row r="244" spans="27:30" hidden="1" x14ac:dyDescent="0.25">
      <c r="AA244" s="7" t="s">
        <v>46</v>
      </c>
      <c r="AC244" s="28">
        <v>0.5625</v>
      </c>
      <c r="AD244" s="7" t="e">
        <f>LOOKUP($F$30,BOLT!$A$1:$A$39,BOLT!G$1:G$39)</f>
        <v>#N/A</v>
      </c>
    </row>
    <row r="245" spans="27:30" hidden="1" x14ac:dyDescent="0.25">
      <c r="AA245" s="7" t="s">
        <v>47</v>
      </c>
      <c r="AC245" s="28">
        <v>0.625</v>
      </c>
      <c r="AD245" s="7" t="e">
        <f>LOOKUP($F$30,BOLT!$A$1:$A$39,BOLT!H$1:H$39)</f>
        <v>#N/A</v>
      </c>
    </row>
    <row r="246" spans="27:30" hidden="1" x14ac:dyDescent="0.25">
      <c r="AA246" s="7" t="s">
        <v>48</v>
      </c>
      <c r="AC246" s="28">
        <v>0.75</v>
      </c>
      <c r="AD246" s="7" t="e">
        <f>LOOKUP($F$30,BOLT!$A$1:$A$39,BOLT!I$1:I$39)</f>
        <v>#N/A</v>
      </c>
    </row>
    <row r="247" spans="27:30" hidden="1" x14ac:dyDescent="0.25">
      <c r="AA247" s="7" t="s">
        <v>49</v>
      </c>
      <c r="AC247" s="28">
        <v>0.875</v>
      </c>
      <c r="AD247" s="7" t="e">
        <f>LOOKUP($F$30,BOLT!$A$1:$A$39,BOLT!J$1:J$39)</f>
        <v>#N/A</v>
      </c>
    </row>
    <row r="248" spans="27:30" hidden="1" x14ac:dyDescent="0.25">
      <c r="AA248" s="7" t="s">
        <v>50</v>
      </c>
      <c r="AC248" s="28">
        <v>1</v>
      </c>
      <c r="AD248" s="7" t="e">
        <f>LOOKUP($F$30,BOLT!$A$1:$A$39,BOLT!K$1:K$39)</f>
        <v>#N/A</v>
      </c>
    </row>
    <row r="249" spans="27:30" hidden="1" x14ac:dyDescent="0.25">
      <c r="AA249" s="7" t="s">
        <v>51</v>
      </c>
      <c r="AC249" s="28">
        <v>1.125</v>
      </c>
      <c r="AD249" s="7" t="e">
        <f>LOOKUP($F$30,BOLT!$A$1:$A$39,BOLT!L$1:L$39)</f>
        <v>#N/A</v>
      </c>
    </row>
    <row r="250" spans="27:30" hidden="1" x14ac:dyDescent="0.25">
      <c r="AA250" s="7" t="s">
        <v>52</v>
      </c>
      <c r="AC250" s="28">
        <v>1.25</v>
      </c>
      <c r="AD250" s="7" t="e">
        <f>LOOKUP($F$30,BOLT!$A$1:$A$39,BOLT!M$1:M$39)</f>
        <v>#N/A</v>
      </c>
    </row>
    <row r="251" spans="27:30" hidden="1" x14ac:dyDescent="0.25">
      <c r="AA251" s="7" t="s">
        <v>53</v>
      </c>
      <c r="AC251" s="28">
        <v>1.375</v>
      </c>
      <c r="AD251" s="7" t="e">
        <f>LOOKUP($F$30,BOLT!$A$1:$A$39,BOLT!N$1:N$39)</f>
        <v>#N/A</v>
      </c>
    </row>
    <row r="252" spans="27:30" hidden="1" x14ac:dyDescent="0.25">
      <c r="AA252" s="7" t="s">
        <v>54</v>
      </c>
      <c r="AC252" s="28">
        <v>1.5</v>
      </c>
      <c r="AD252" s="7" t="e">
        <f>LOOKUP($F$30,BOLT!$A$1:$A$39,BOLT!O$1:O$39)</f>
        <v>#N/A</v>
      </c>
    </row>
    <row r="253" spans="27:30" hidden="1" x14ac:dyDescent="0.25">
      <c r="AA253" s="7" t="s">
        <v>55</v>
      </c>
      <c r="AC253" s="28">
        <v>1.625</v>
      </c>
      <c r="AD253" s="7" t="e">
        <f>LOOKUP($F$30,BOLT!$A$1:$A$39,BOLT!P$1:P$39)</f>
        <v>#N/A</v>
      </c>
    </row>
    <row r="254" spans="27:30" hidden="1" x14ac:dyDescent="0.25">
      <c r="AA254" s="7" t="s">
        <v>57</v>
      </c>
      <c r="AC254" s="28">
        <v>1.75</v>
      </c>
      <c r="AD254" s="7" t="e">
        <f>LOOKUP($F$30,BOLT!$A$1:$A$39,BOLT!Q$1:Q$39)</f>
        <v>#N/A</v>
      </c>
    </row>
    <row r="255" spans="27:30" hidden="1" x14ac:dyDescent="0.25">
      <c r="AA255" s="7" t="s">
        <v>58</v>
      </c>
      <c r="AC255" s="28">
        <v>1.875</v>
      </c>
      <c r="AD255" s="7" t="e">
        <f>LOOKUP($F$30,BOLT!$A$1:$A$39,BOLT!R$1:R$39)</f>
        <v>#N/A</v>
      </c>
    </row>
    <row r="256" spans="27:30" hidden="1" x14ac:dyDescent="0.25">
      <c r="AA256" s="7" t="s">
        <v>59</v>
      </c>
      <c r="AC256" s="28">
        <v>2</v>
      </c>
      <c r="AD256" s="7" t="e">
        <f>LOOKUP($F$30,BOLT!$A$1:$A$39,BOLT!S$1:S$39)</f>
        <v>#N/A</v>
      </c>
    </row>
    <row r="257" spans="27:30" hidden="1" x14ac:dyDescent="0.25">
      <c r="AA257" s="7" t="s">
        <v>60</v>
      </c>
      <c r="AC257" s="28">
        <v>2.25</v>
      </c>
      <c r="AD257" s="7" t="e">
        <f>LOOKUP($F$30,BOLT!$A$1:$A$39,BOLT!T$1:T$39)</f>
        <v>#N/A</v>
      </c>
    </row>
    <row r="258" spans="27:30" hidden="1" x14ac:dyDescent="0.25">
      <c r="AA258" s="7" t="s">
        <v>61</v>
      </c>
      <c r="AC258" s="28">
        <v>2.5</v>
      </c>
      <c r="AD258" s="7" t="e">
        <f>LOOKUP($F$30,BOLT!$A$1:$A$39,BOLT!U$1:U$39)</f>
        <v>#N/A</v>
      </c>
    </row>
    <row r="259" spans="27:30" hidden="1" x14ac:dyDescent="0.25">
      <c r="AA259" s="7" t="s">
        <v>62</v>
      </c>
      <c r="AC259" s="28">
        <v>2.75</v>
      </c>
      <c r="AD259" s="7" t="e">
        <f>LOOKUP($F$30,BOLT!$A$1:$A$39,BOLT!V$1:V$39)</f>
        <v>#N/A</v>
      </c>
    </row>
    <row r="260" spans="27:30" hidden="1" x14ac:dyDescent="0.25">
      <c r="AA260" s="7" t="s">
        <v>63</v>
      </c>
      <c r="AC260" s="28">
        <v>3</v>
      </c>
      <c r="AD260" s="7" t="e">
        <f>LOOKUP($F$30,BOLT!$A$1:$A$39,BOLT!W$1:W$39)</f>
        <v>#N/A</v>
      </c>
    </row>
    <row r="261" spans="27:30" hidden="1" x14ac:dyDescent="0.25">
      <c r="AA261" s="7" t="s">
        <v>64</v>
      </c>
    </row>
    <row r="262" spans="27:30" hidden="1" x14ac:dyDescent="0.25">
      <c r="AA262" s="7" t="s">
        <v>65</v>
      </c>
    </row>
    <row r="263" spans="27:30" hidden="1" x14ac:dyDescent="0.25">
      <c r="AA263" s="7" t="s">
        <v>66</v>
      </c>
    </row>
    <row r="264" spans="27:30" hidden="1" x14ac:dyDescent="0.25">
      <c r="AA264" s="7" t="s">
        <v>67</v>
      </c>
    </row>
    <row r="265" spans="27:30" hidden="1" x14ac:dyDescent="0.25">
      <c r="AA265" s="7" t="s">
        <v>68</v>
      </c>
    </row>
    <row r="266" spans="27:30" hidden="1" x14ac:dyDescent="0.25">
      <c r="AA266" s="7" t="s">
        <v>69</v>
      </c>
    </row>
    <row r="267" spans="27:30" hidden="1" x14ac:dyDescent="0.25">
      <c r="AA267" s="7" t="s">
        <v>70</v>
      </c>
    </row>
    <row r="268" spans="27:30" hidden="1" x14ac:dyDescent="0.25">
      <c r="AA268" s="7" t="s">
        <v>71</v>
      </c>
    </row>
    <row r="269" spans="27:30" hidden="1" x14ac:dyDescent="0.25">
      <c r="AA269" s="7" t="s">
        <v>72</v>
      </c>
    </row>
    <row r="270" spans="27:30" hidden="1" x14ac:dyDescent="0.25">
      <c r="AA270" s="7" t="s">
        <v>73</v>
      </c>
    </row>
    <row r="271" spans="27:30" hidden="1" x14ac:dyDescent="0.25">
      <c r="AA271" s="7" t="s">
        <v>74</v>
      </c>
    </row>
    <row r="272" spans="27:30" hidden="1" x14ac:dyDescent="0.25">
      <c r="AA272" s="7" t="s">
        <v>75</v>
      </c>
    </row>
    <row r="273" spans="27:27" hidden="1" x14ac:dyDescent="0.25">
      <c r="AA273" s="7" t="s">
        <v>76</v>
      </c>
    </row>
    <row r="274" spans="27:27" hidden="1" x14ac:dyDescent="0.25">
      <c r="AA274" s="7" t="s">
        <v>77</v>
      </c>
    </row>
    <row r="275" spans="27:27" hidden="1" x14ac:dyDescent="0.25">
      <c r="AA275" s="7" t="s">
        <v>78</v>
      </c>
    </row>
    <row r="276" spans="27:27" hidden="1" x14ac:dyDescent="0.25">
      <c r="AA276" s="7" t="s">
        <v>79</v>
      </c>
    </row>
    <row r="277" spans="27:27" hidden="1" x14ac:dyDescent="0.25">
      <c r="AA277" s="7" t="s">
        <v>80</v>
      </c>
    </row>
  </sheetData>
  <sheetProtection password="D401" sheet="1" objects="1" scenarios="1" selectLockedCells="1"/>
  <mergeCells count="64">
    <mergeCell ref="H91:L91"/>
    <mergeCell ref="H148:L148"/>
    <mergeCell ref="I100:K104"/>
    <mergeCell ref="B91:G91"/>
    <mergeCell ref="B108:G108"/>
    <mergeCell ref="B147:G147"/>
    <mergeCell ref="H147:L147"/>
    <mergeCell ref="B128:B132"/>
    <mergeCell ref="I128:K132"/>
    <mergeCell ref="B134:B138"/>
    <mergeCell ref="I134:K138"/>
    <mergeCell ref="I126:K126"/>
    <mergeCell ref="I92:K92"/>
    <mergeCell ref="B94:B98"/>
    <mergeCell ref="I94:K98"/>
    <mergeCell ref="B100:B104"/>
    <mergeCell ref="B125:L125"/>
    <mergeCell ref="I109:K109"/>
    <mergeCell ref="B111:B115"/>
    <mergeCell ref="I111:K115"/>
    <mergeCell ref="B117:B121"/>
    <mergeCell ref="I117:K121"/>
    <mergeCell ref="B3:L3"/>
    <mergeCell ref="B142:L144"/>
    <mergeCell ref="B66:B70"/>
    <mergeCell ref="I66:K70"/>
    <mergeCell ref="I75:K75"/>
    <mergeCell ref="B77:B81"/>
    <mergeCell ref="I77:K81"/>
    <mergeCell ref="H17:I17"/>
    <mergeCell ref="J6:M6"/>
    <mergeCell ref="I58:K58"/>
    <mergeCell ref="B60:B64"/>
    <mergeCell ref="I60:K64"/>
    <mergeCell ref="H19:I19"/>
    <mergeCell ref="H21:I21"/>
    <mergeCell ref="F30:G30"/>
    <mergeCell ref="B51:L53"/>
    <mergeCell ref="I38:K38"/>
    <mergeCell ref="H90:L90"/>
    <mergeCell ref="B83:B87"/>
    <mergeCell ref="I83:K87"/>
    <mergeCell ref="H56:L56"/>
    <mergeCell ref="H73:L73"/>
    <mergeCell ref="B57:G57"/>
    <mergeCell ref="B74:G74"/>
    <mergeCell ref="B56:G56"/>
    <mergeCell ref="H57:L57"/>
    <mergeCell ref="H74:L74"/>
    <mergeCell ref="B178:B182"/>
    <mergeCell ref="I178:K182"/>
    <mergeCell ref="B166:G166"/>
    <mergeCell ref="H166:L166"/>
    <mergeCell ref="I170:K170"/>
    <mergeCell ref="B172:B176"/>
    <mergeCell ref="I172:K176"/>
    <mergeCell ref="B167:G167"/>
    <mergeCell ref="H167:L167"/>
    <mergeCell ref="I151:K151"/>
    <mergeCell ref="B153:B157"/>
    <mergeCell ref="I153:K157"/>
    <mergeCell ref="B148:G148"/>
    <mergeCell ref="B159:B163"/>
    <mergeCell ref="I159:K163"/>
  </mergeCells>
  <phoneticPr fontId="0" type="noConversion"/>
  <conditionalFormatting sqref="I60:K64">
    <cfRule type="cellIs" dxfId="259" priority="177" operator="equal">
      <formula>$R$53</formula>
    </cfRule>
    <cfRule type="cellIs" dxfId="258" priority="178" operator="equal">
      <formula>$R$52</formula>
    </cfRule>
    <cfRule type="cellIs" dxfId="257" priority="179" operator="equal">
      <formula>$R$51</formula>
    </cfRule>
  </conditionalFormatting>
  <conditionalFormatting sqref="I60:K64">
    <cfRule type="cellIs" dxfId="256" priority="131" operator="equal">
      <formula>$R$54</formula>
    </cfRule>
  </conditionalFormatting>
  <conditionalFormatting sqref="I66:K70">
    <cfRule type="cellIs" dxfId="255" priority="68" operator="equal">
      <formula>$R$53</formula>
    </cfRule>
    <cfRule type="cellIs" dxfId="254" priority="69" operator="equal">
      <formula>$R$52</formula>
    </cfRule>
    <cfRule type="cellIs" dxfId="253" priority="70" operator="equal">
      <formula>$R$51</formula>
    </cfRule>
  </conditionalFormatting>
  <conditionalFormatting sqref="I66:K70">
    <cfRule type="cellIs" dxfId="252" priority="67" operator="equal">
      <formula>$R$54</formula>
    </cfRule>
  </conditionalFormatting>
  <conditionalFormatting sqref="I77:K81">
    <cfRule type="cellIs" dxfId="251" priority="64" operator="equal">
      <formula>$R$53</formula>
    </cfRule>
    <cfRule type="cellIs" dxfId="250" priority="65" operator="equal">
      <formula>$R$52</formula>
    </cfRule>
    <cfRule type="cellIs" dxfId="249" priority="66" operator="equal">
      <formula>$R$51</formula>
    </cfRule>
  </conditionalFormatting>
  <conditionalFormatting sqref="I77:K81">
    <cfRule type="cellIs" dxfId="248" priority="63" operator="equal">
      <formula>$R$54</formula>
    </cfRule>
  </conditionalFormatting>
  <conditionalFormatting sqref="I83:K87">
    <cfRule type="cellIs" dxfId="247" priority="60" operator="equal">
      <formula>$R$53</formula>
    </cfRule>
    <cfRule type="cellIs" dxfId="246" priority="61" operator="equal">
      <formula>$R$52</formula>
    </cfRule>
    <cfRule type="cellIs" dxfId="245" priority="62" operator="equal">
      <formula>$R$51</formula>
    </cfRule>
  </conditionalFormatting>
  <conditionalFormatting sqref="I83:K87">
    <cfRule type="cellIs" dxfId="244" priority="59" operator="equal">
      <formula>$R$54</formula>
    </cfRule>
  </conditionalFormatting>
  <conditionalFormatting sqref="I94:K98">
    <cfRule type="cellIs" dxfId="243" priority="56" operator="equal">
      <formula>$R$53</formula>
    </cfRule>
    <cfRule type="cellIs" dxfId="242" priority="57" operator="equal">
      <formula>$R$52</formula>
    </cfRule>
    <cfRule type="cellIs" dxfId="241" priority="58" operator="equal">
      <formula>$R$51</formula>
    </cfRule>
  </conditionalFormatting>
  <conditionalFormatting sqref="I94:K98">
    <cfRule type="cellIs" dxfId="240" priority="55" operator="equal">
      <formula>$R$54</formula>
    </cfRule>
  </conditionalFormatting>
  <conditionalFormatting sqref="I100:K104">
    <cfRule type="cellIs" dxfId="239" priority="52" operator="equal">
      <formula>$R$53</formula>
    </cfRule>
    <cfRule type="cellIs" dxfId="238" priority="53" operator="equal">
      <formula>$R$52</formula>
    </cfRule>
    <cfRule type="cellIs" dxfId="237" priority="54" operator="equal">
      <formula>$R$51</formula>
    </cfRule>
  </conditionalFormatting>
  <conditionalFormatting sqref="I100:K104">
    <cfRule type="cellIs" dxfId="236" priority="51" operator="equal">
      <formula>$R$54</formula>
    </cfRule>
  </conditionalFormatting>
  <conditionalFormatting sqref="I111:K115">
    <cfRule type="cellIs" dxfId="235" priority="48" operator="equal">
      <formula>$R$53</formula>
    </cfRule>
    <cfRule type="cellIs" dxfId="234" priority="49" operator="equal">
      <formula>$R$52</formula>
    </cfRule>
    <cfRule type="cellIs" dxfId="233" priority="50" operator="equal">
      <formula>$R$51</formula>
    </cfRule>
  </conditionalFormatting>
  <conditionalFormatting sqref="I111:K115">
    <cfRule type="cellIs" dxfId="232" priority="47" operator="equal">
      <formula>$R$54</formula>
    </cfRule>
  </conditionalFormatting>
  <conditionalFormatting sqref="I117:K121">
    <cfRule type="cellIs" dxfId="231" priority="44" operator="equal">
      <formula>$R$53</formula>
    </cfRule>
    <cfRule type="cellIs" dxfId="230" priority="45" operator="equal">
      <formula>$R$52</formula>
    </cfRule>
    <cfRule type="cellIs" dxfId="229" priority="46" operator="equal">
      <formula>$R$51</formula>
    </cfRule>
  </conditionalFormatting>
  <conditionalFormatting sqref="I117:K121">
    <cfRule type="cellIs" dxfId="228" priority="43" operator="equal">
      <formula>$R$54</formula>
    </cfRule>
  </conditionalFormatting>
  <conditionalFormatting sqref="I128:K132">
    <cfRule type="cellIs" dxfId="227" priority="40" operator="equal">
      <formula>$R$53</formula>
    </cfRule>
    <cfRule type="cellIs" dxfId="226" priority="41" operator="equal">
      <formula>$R$52</formula>
    </cfRule>
    <cfRule type="cellIs" dxfId="225" priority="42" operator="equal">
      <formula>$R$51</formula>
    </cfRule>
  </conditionalFormatting>
  <conditionalFormatting sqref="I128:K132">
    <cfRule type="cellIs" dxfId="224" priority="39" operator="equal">
      <formula>$R$54</formula>
    </cfRule>
  </conditionalFormatting>
  <conditionalFormatting sqref="I134:K138">
    <cfRule type="cellIs" dxfId="223" priority="36" operator="equal">
      <formula>$R$53</formula>
    </cfRule>
    <cfRule type="cellIs" dxfId="222" priority="37" operator="equal">
      <formula>$R$52</formula>
    </cfRule>
    <cfRule type="cellIs" dxfId="221" priority="38" operator="equal">
      <formula>$R$51</formula>
    </cfRule>
  </conditionalFormatting>
  <conditionalFormatting sqref="I134:K138">
    <cfRule type="cellIs" dxfId="220" priority="35" operator="equal">
      <formula>$R$54</formula>
    </cfRule>
  </conditionalFormatting>
  <conditionalFormatting sqref="I153:K157">
    <cfRule type="cellIs" dxfId="219" priority="24" operator="equal">
      <formula>$R$53</formula>
    </cfRule>
    <cfRule type="cellIs" dxfId="218" priority="25" operator="equal">
      <formula>$R$52</formula>
    </cfRule>
    <cfRule type="cellIs" dxfId="217" priority="26" operator="equal">
      <formula>$R$51</formula>
    </cfRule>
  </conditionalFormatting>
  <conditionalFormatting sqref="I153:K157">
    <cfRule type="cellIs" dxfId="216" priority="23" operator="equal">
      <formula>$R$54</formula>
    </cfRule>
  </conditionalFormatting>
  <conditionalFormatting sqref="I159:K163">
    <cfRule type="cellIs" dxfId="215" priority="20" operator="equal">
      <formula>$R$53</formula>
    </cfRule>
    <cfRule type="cellIs" dxfId="214" priority="21" operator="equal">
      <formula>$R$52</formula>
    </cfRule>
    <cfRule type="cellIs" dxfId="213" priority="22" operator="equal">
      <formula>$R$51</formula>
    </cfRule>
  </conditionalFormatting>
  <conditionalFormatting sqref="I159:K163">
    <cfRule type="cellIs" dxfId="212" priority="19" operator="equal">
      <formula>$R$54</formula>
    </cfRule>
  </conditionalFormatting>
  <conditionalFormatting sqref="I172:K176">
    <cfRule type="cellIs" dxfId="211" priority="16" operator="equal">
      <formula>$R$53</formula>
    </cfRule>
    <cfRule type="cellIs" dxfId="210" priority="17" operator="equal">
      <formula>$R$52</formula>
    </cfRule>
    <cfRule type="cellIs" dxfId="209" priority="18" operator="equal">
      <formula>$R$51</formula>
    </cfRule>
  </conditionalFormatting>
  <conditionalFormatting sqref="I172:K176">
    <cfRule type="cellIs" dxfId="208" priority="15" operator="equal">
      <formula>$R$54</formula>
    </cfRule>
  </conditionalFormatting>
  <conditionalFormatting sqref="I178:K182">
    <cfRule type="cellIs" dxfId="207" priority="12" operator="equal">
      <formula>$R$53</formula>
    </cfRule>
    <cfRule type="cellIs" dxfId="206" priority="13" operator="equal">
      <formula>$R$52</formula>
    </cfRule>
    <cfRule type="cellIs" dxfId="205" priority="14" operator="equal">
      <formula>$R$51</formula>
    </cfRule>
  </conditionalFormatting>
  <conditionalFormatting sqref="I178:K182">
    <cfRule type="cellIs" dxfId="204" priority="11" operator="equal">
      <formula>$R$54</formula>
    </cfRule>
  </conditionalFormatting>
  <conditionalFormatting sqref="H17:I17">
    <cfRule type="cellIs" dxfId="203" priority="9" operator="equal">
      <formula>$Q$19</formula>
    </cfRule>
    <cfRule type="cellIs" dxfId="202" priority="10" operator="equal">
      <formula>$Q$17</formula>
    </cfRule>
  </conditionalFormatting>
  <conditionalFormatting sqref="H19:I19">
    <cfRule type="cellIs" dxfId="201" priority="7" operator="equal">
      <formula>$Q$19</formula>
    </cfRule>
    <cfRule type="cellIs" dxfId="200" priority="8" operator="equal">
      <formula>$Q$17</formula>
    </cfRule>
  </conditionalFormatting>
  <conditionalFormatting sqref="H21:I21">
    <cfRule type="cellIs" dxfId="199" priority="5" operator="equal">
      <formula>$Q$19</formula>
    </cfRule>
    <cfRule type="cellIs" dxfId="198" priority="6" operator="equal">
      <formula>$Q$17</formula>
    </cfRule>
  </conditionalFormatting>
  <conditionalFormatting sqref="H38">
    <cfRule type="cellIs" dxfId="197" priority="1" operator="greaterThanOrEqual">
      <formula>100%</formula>
    </cfRule>
    <cfRule type="cellIs" dxfId="196" priority="2" operator="greaterThan">
      <formula>90.1%</formula>
    </cfRule>
    <cfRule type="cellIs" dxfId="195" priority="3" operator="between">
      <formula>75.1%</formula>
      <formula>90%</formula>
    </cfRule>
    <cfRule type="cellIs" dxfId="194" priority="4" operator="lessThanOrEqual">
      <formula>75%</formula>
    </cfRule>
  </conditionalFormatting>
  <dataValidations count="3">
    <dataValidation type="list" allowBlank="1" showInputMessage="1" showErrorMessage="1" errorTitle="Please select from the list" sqref="F30:G30">
      <formula1>$AA$240:$AA$277</formula1>
    </dataValidation>
    <dataValidation type="list" allowBlank="1" showInputMessage="1" showErrorMessage="1" errorTitle="Please select from the list" sqref="F15">
      <formula1>$AC$239:$AC$260</formula1>
    </dataValidation>
    <dataValidation type="list" allowBlank="1" showInputMessage="1" showErrorMessage="1" error="Please choose from the list provided.  If your material thickness exceed 1/8&quot; consult Applications Engineering at (800) 448-6688." sqref="F7">
      <formula1>$Q$31:$Q$35</formula1>
    </dataValidation>
  </dataValidations>
  <printOptions horizontalCentered="1"/>
  <pageMargins left="0.25" right="0.25" top="1" bottom="1" header="0.5" footer="0.5"/>
  <pageSetup scale="55" fitToHeight="2" orientation="portrait" r:id="rId1"/>
  <headerFooter alignWithMargins="0">
    <oddHeader>&amp;CGarlock Sealing Technologies
1666 Division Street
Palmyra, NY  14522
(800) 448-6688</oddHeader>
    <oddFooter>&amp;A</oddFooter>
  </headerFooter>
  <rowBreaks count="2" manualBreakCount="2">
    <brk id="71" max="12" man="1"/>
    <brk id="139" max="12"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AE281"/>
  <sheetViews>
    <sheetView showGridLines="0" showRowColHeaders="0" zoomScale="85" zoomScaleNormal="85" workbookViewId="0">
      <pane ySplit="4" topLeftCell="A5" activePane="bottomLeft" state="frozen"/>
      <selection pane="bottomLeft" activeCell="F36" sqref="F36"/>
    </sheetView>
  </sheetViews>
  <sheetFormatPr defaultColWidth="0" defaultRowHeight="13.2" zeroHeight="1" x14ac:dyDescent="0.25"/>
  <cols>
    <col min="1" max="1" width="9" style="7" customWidth="1"/>
    <col min="2" max="2" width="24.109375" style="7" customWidth="1"/>
    <col min="3" max="3" width="15.77734375" style="7" customWidth="1"/>
    <col min="4" max="4" width="12.6640625" style="7" customWidth="1"/>
    <col min="5" max="5" width="3.6640625" style="7" customWidth="1"/>
    <col min="6" max="6" width="16.88671875" style="7" customWidth="1"/>
    <col min="7" max="7" width="15.77734375" style="7" customWidth="1"/>
    <col min="8" max="9" width="7.77734375" style="7" customWidth="1"/>
    <col min="10" max="10" width="2.6640625" style="7" customWidth="1"/>
    <col min="11" max="11" width="15.77734375" style="7" customWidth="1"/>
    <col min="12" max="12" width="15.6640625" style="7" customWidth="1"/>
    <col min="13" max="13" width="6.44140625" style="7" customWidth="1"/>
    <col min="14" max="14" width="4.5546875" style="7" customWidth="1"/>
    <col min="15" max="17" width="9.109375" style="7" hidden="1" customWidth="1"/>
    <col min="18" max="18" width="11.109375" style="7" hidden="1" customWidth="1"/>
    <col min="19" max="16384" width="9.109375" style="7" hidden="1"/>
  </cols>
  <sheetData>
    <row r="1" spans="2:14" ht="108" customHeight="1" x14ac:dyDescent="0.25"/>
    <row r="2" spans="2:14" ht="28.2" customHeight="1" x14ac:dyDescent="0.25"/>
    <row r="3" spans="2:14" ht="27" customHeight="1" x14ac:dyDescent="0.25">
      <c r="B3" s="467" t="s">
        <v>20</v>
      </c>
      <c r="C3" s="468"/>
      <c r="D3" s="468"/>
      <c r="E3" s="468"/>
      <c r="F3" s="468"/>
      <c r="G3" s="468"/>
      <c r="H3" s="468"/>
      <c r="I3" s="468"/>
      <c r="J3" s="468"/>
      <c r="K3" s="468"/>
      <c r="L3" s="469"/>
      <c r="M3" s="269"/>
    </row>
    <row r="4" spans="2:14" ht="24" customHeight="1" x14ac:dyDescent="0.25">
      <c r="C4" s="249"/>
      <c r="D4" s="250"/>
      <c r="E4" s="250"/>
      <c r="F4" s="250"/>
      <c r="G4" s="250"/>
      <c r="H4" s="250"/>
      <c r="I4" s="250"/>
      <c r="J4" s="254"/>
    </row>
    <row r="5" spans="2:14" ht="17.399999999999999" x14ac:dyDescent="0.3">
      <c r="B5" s="29"/>
      <c r="C5" s="271"/>
      <c r="D5" s="271"/>
      <c r="E5" s="271"/>
      <c r="F5" s="271" t="s">
        <v>415</v>
      </c>
      <c r="G5" s="271"/>
      <c r="H5" s="271"/>
      <c r="I5" s="271"/>
      <c r="J5" s="285"/>
      <c r="K5" s="453" t="s">
        <v>387</v>
      </c>
      <c r="L5" s="453"/>
      <c r="M5" s="453"/>
      <c r="N5" s="453"/>
    </row>
    <row r="6" spans="2:14" ht="21.6" thickBot="1" x14ac:dyDescent="0.3">
      <c r="B6" s="29"/>
      <c r="C6" s="32"/>
      <c r="D6" s="22" t="s">
        <v>320</v>
      </c>
      <c r="E6" s="9"/>
      <c r="F6" s="9"/>
      <c r="G6" s="9"/>
      <c r="H6" s="9"/>
      <c r="K6" s="236"/>
      <c r="L6" s="236"/>
      <c r="M6" s="236"/>
      <c r="N6" s="236"/>
    </row>
    <row r="7" spans="2:14" ht="18" thickBot="1" x14ac:dyDescent="0.3">
      <c r="B7" s="29"/>
      <c r="C7" s="32"/>
      <c r="D7" s="40" t="s">
        <v>344</v>
      </c>
      <c r="E7" s="63"/>
      <c r="F7" s="360"/>
      <c r="G7" s="23" t="s">
        <v>321</v>
      </c>
      <c r="H7" s="8"/>
      <c r="I7" s="236"/>
      <c r="J7" s="236"/>
    </row>
    <row r="8" spans="2:14" ht="17.25" customHeight="1" x14ac:dyDescent="0.25">
      <c r="B8" s="29"/>
      <c r="C8" s="32"/>
      <c r="D8" s="32"/>
      <c r="E8" s="32"/>
      <c r="F8" s="32"/>
      <c r="G8" s="32"/>
      <c r="H8" s="32"/>
    </row>
    <row r="9" spans="2:14" ht="21" x14ac:dyDescent="0.25">
      <c r="C9" s="11"/>
      <c r="D9" s="10" t="s">
        <v>1</v>
      </c>
      <c r="E9" s="11"/>
      <c r="F9" s="11"/>
      <c r="G9" s="2"/>
      <c r="H9" s="2"/>
    </row>
    <row r="10" spans="2:14" ht="6.9" customHeight="1" thickBot="1" x14ac:dyDescent="0.35">
      <c r="B10" s="13"/>
      <c r="C10" s="13"/>
      <c r="D10" s="13"/>
      <c r="E10" s="13"/>
      <c r="F10" s="13"/>
      <c r="G10" s="14"/>
      <c r="H10" s="2"/>
      <c r="N10" s="351"/>
    </row>
    <row r="11" spans="2:14" ht="18" thickBot="1" x14ac:dyDescent="0.35">
      <c r="C11" s="13"/>
      <c r="D11" s="118" t="s">
        <v>347</v>
      </c>
      <c r="F11" s="363"/>
      <c r="G11" s="13" t="s">
        <v>3</v>
      </c>
      <c r="H11" s="14"/>
      <c r="N11" s="351"/>
    </row>
    <row r="12" spans="2:14" ht="3.9" customHeight="1" thickBot="1" x14ac:dyDescent="0.35">
      <c r="C12" s="13"/>
      <c r="D12" s="15"/>
      <c r="F12" s="290"/>
      <c r="G12" s="13"/>
      <c r="H12" s="14"/>
      <c r="N12" s="351"/>
    </row>
    <row r="13" spans="2:14" ht="18" thickBot="1" x14ac:dyDescent="0.35">
      <c r="C13" s="13"/>
      <c r="D13" s="40" t="s">
        <v>348</v>
      </c>
      <c r="F13" s="363"/>
      <c r="G13" s="13" t="s">
        <v>3</v>
      </c>
      <c r="H13" s="14"/>
      <c r="N13" s="351"/>
    </row>
    <row r="14" spans="2:14" ht="3.9" customHeight="1" thickBot="1" x14ac:dyDescent="0.35">
      <c r="C14" s="13"/>
      <c r="D14" s="15"/>
      <c r="F14" s="13"/>
      <c r="G14" s="13"/>
      <c r="H14" s="14"/>
      <c r="N14" s="351"/>
    </row>
    <row r="15" spans="2:14" ht="18" thickBot="1" x14ac:dyDescent="0.35">
      <c r="C15" s="13"/>
      <c r="D15" s="40" t="s">
        <v>349</v>
      </c>
      <c r="F15" s="363"/>
      <c r="G15" s="13" t="s">
        <v>3</v>
      </c>
      <c r="H15" s="14"/>
      <c r="K15" s="352"/>
      <c r="L15" s="352"/>
      <c r="M15" s="352"/>
    </row>
    <row r="16" spans="2:14" ht="3.9" customHeight="1" thickBot="1" x14ac:dyDescent="0.35">
      <c r="C16" s="13"/>
      <c r="D16" s="15"/>
      <c r="F16" s="13"/>
      <c r="G16" s="13"/>
      <c r="H16" s="14"/>
      <c r="K16" s="353"/>
      <c r="L16" s="353"/>
      <c r="M16" s="353"/>
      <c r="N16" s="101"/>
    </row>
    <row r="17" spans="3:19" ht="18" thickBot="1" x14ac:dyDescent="0.35">
      <c r="C17" s="13"/>
      <c r="D17" s="40" t="s">
        <v>350</v>
      </c>
      <c r="F17" s="363"/>
      <c r="G17" s="13" t="s">
        <v>3</v>
      </c>
      <c r="H17" s="14"/>
      <c r="K17" s="353"/>
      <c r="L17" s="353"/>
      <c r="M17" s="353"/>
      <c r="N17" s="101"/>
    </row>
    <row r="18" spans="3:19" ht="18" customHeight="1" thickBot="1" x14ac:dyDescent="0.35">
      <c r="C18" s="13"/>
      <c r="D18" s="15"/>
      <c r="F18" s="13"/>
      <c r="G18" s="13"/>
      <c r="H18" s="14"/>
      <c r="K18" s="353"/>
      <c r="L18" s="353"/>
      <c r="M18" s="353"/>
      <c r="N18" s="101"/>
    </row>
    <row r="19" spans="3:19" ht="18" customHeight="1" thickTop="1" x14ac:dyDescent="0.25">
      <c r="C19" s="484" t="s">
        <v>417</v>
      </c>
      <c r="D19" s="485"/>
      <c r="E19" s="485"/>
      <c r="F19" s="485"/>
      <c r="G19" s="485"/>
      <c r="H19" s="485"/>
      <c r="I19" s="485"/>
      <c r="J19" s="486"/>
      <c r="K19" s="353"/>
      <c r="L19" s="353"/>
      <c r="M19" s="353"/>
      <c r="N19" s="101"/>
    </row>
    <row r="20" spans="3:19" ht="17.399999999999999" customHeight="1" x14ac:dyDescent="0.25">
      <c r="C20" s="487"/>
      <c r="D20" s="488"/>
      <c r="E20" s="488"/>
      <c r="F20" s="488"/>
      <c r="G20" s="488"/>
      <c r="H20" s="488"/>
      <c r="I20" s="488"/>
      <c r="J20" s="489"/>
      <c r="K20" s="353"/>
      <c r="L20" s="353"/>
      <c r="M20" s="353"/>
      <c r="N20" s="101"/>
    </row>
    <row r="21" spans="3:19" ht="18" customHeight="1" thickBot="1" x14ac:dyDescent="0.35">
      <c r="C21" s="260"/>
      <c r="D21" s="255"/>
      <c r="E21" s="239"/>
      <c r="F21" s="256"/>
      <c r="G21" s="256"/>
      <c r="H21" s="257"/>
      <c r="I21" s="239"/>
      <c r="J21" s="261"/>
      <c r="K21" s="353"/>
      <c r="L21" s="353"/>
      <c r="M21" s="353"/>
      <c r="N21" s="101"/>
    </row>
    <row r="22" spans="3:19" ht="18" thickBot="1" x14ac:dyDescent="0.35">
      <c r="C22" s="260"/>
      <c r="D22" s="270" t="s">
        <v>353</v>
      </c>
      <c r="E22" s="239"/>
      <c r="F22" s="363"/>
      <c r="G22" s="256" t="s">
        <v>3</v>
      </c>
      <c r="H22" s="480" t="b">
        <f>AND(F22&lt;(F11-$F$26),F22&gt;=(F15+1+$F$26))</f>
        <v>0</v>
      </c>
      <c r="I22" s="481"/>
      <c r="J22" s="262"/>
      <c r="K22" s="354"/>
      <c r="L22" s="354"/>
      <c r="M22" s="354"/>
      <c r="N22" s="101"/>
      <c r="Q22" s="7" t="b">
        <v>1</v>
      </c>
    </row>
    <row r="23" spans="3:19" ht="3.9" customHeight="1" thickBot="1" x14ac:dyDescent="0.35">
      <c r="C23" s="260"/>
      <c r="D23" s="258"/>
      <c r="E23" s="239"/>
      <c r="F23" s="256" t="s">
        <v>4</v>
      </c>
      <c r="G23" s="256"/>
      <c r="H23" s="259"/>
      <c r="I23" s="239"/>
      <c r="J23" s="261"/>
      <c r="K23" s="354"/>
      <c r="L23" s="354"/>
      <c r="M23" s="354"/>
      <c r="N23" s="101"/>
    </row>
    <row r="24" spans="3:19" ht="18" thickBot="1" x14ac:dyDescent="0.35">
      <c r="C24" s="260"/>
      <c r="D24" s="270" t="s">
        <v>354</v>
      </c>
      <c r="E24" s="239"/>
      <c r="F24" s="363"/>
      <c r="G24" s="256" t="s">
        <v>3</v>
      </c>
      <c r="H24" s="480" t="b">
        <f>AND(F24&lt;(F13-$F$26),F24&gt;=(F17+1+$F$26))</f>
        <v>0</v>
      </c>
      <c r="I24" s="481"/>
      <c r="J24" s="262"/>
      <c r="K24" s="101"/>
      <c r="L24" s="101"/>
      <c r="M24" s="101"/>
      <c r="N24" s="101"/>
      <c r="Q24" s="7" t="b">
        <v>0</v>
      </c>
      <c r="R24" s="64" t="s">
        <v>427</v>
      </c>
      <c r="S24" s="64" t="s">
        <v>428</v>
      </c>
    </row>
    <row r="25" spans="3:19" ht="3.9" customHeight="1" thickBot="1" x14ac:dyDescent="0.35">
      <c r="C25" s="260"/>
      <c r="D25" s="255"/>
      <c r="E25" s="239"/>
      <c r="F25" s="256" t="s">
        <v>4</v>
      </c>
      <c r="G25" s="256"/>
      <c r="H25" s="259"/>
      <c r="I25" s="239"/>
      <c r="J25" s="261"/>
      <c r="K25" s="229"/>
      <c r="L25" s="101"/>
      <c r="M25" s="101"/>
      <c r="N25" s="101"/>
      <c r="R25" s="64"/>
      <c r="S25" s="64"/>
    </row>
    <row r="26" spans="3:19" ht="18" thickBot="1" x14ac:dyDescent="0.35">
      <c r="C26" s="260"/>
      <c r="D26" s="270" t="s">
        <v>18</v>
      </c>
      <c r="E26" s="239"/>
      <c r="F26" s="363"/>
      <c r="G26" s="256" t="s">
        <v>3</v>
      </c>
      <c r="H26" s="480" t="b">
        <f>AND(R26=Q22,S26=Q22)</f>
        <v>0</v>
      </c>
      <c r="I26" s="481"/>
      <c r="J26" s="262"/>
      <c r="K26" s="101"/>
      <c r="L26" s="101"/>
      <c r="M26" s="101"/>
      <c r="R26" s="64" t="b">
        <f>AND(F26&lt;=((F11-(F15+1))/2),F26&lt;=((F13-(F17+1))/2))</f>
        <v>0</v>
      </c>
      <c r="S26" s="64" t="b">
        <f>(F29&lt;F26)</f>
        <v>0</v>
      </c>
    </row>
    <row r="27" spans="3:19" ht="7.8" customHeight="1" thickBot="1" x14ac:dyDescent="0.35">
      <c r="C27" s="263"/>
      <c r="D27" s="264"/>
      <c r="E27" s="265"/>
      <c r="F27" s="266"/>
      <c r="G27" s="266"/>
      <c r="H27" s="267"/>
      <c r="I27" s="267"/>
      <c r="J27" s="268"/>
      <c r="K27" s="101"/>
      <c r="L27" s="101"/>
      <c r="M27" s="101"/>
    </row>
    <row r="28" spans="3:19" ht="7.8" customHeight="1" thickTop="1" thickBot="1" x14ac:dyDescent="0.35">
      <c r="C28" s="13"/>
      <c r="D28" s="15"/>
      <c r="F28" s="13"/>
      <c r="G28" s="13"/>
      <c r="H28" s="14"/>
      <c r="K28" s="101"/>
      <c r="L28" s="101"/>
      <c r="M28" s="101"/>
    </row>
    <row r="29" spans="3:19" ht="18" thickBot="1" x14ac:dyDescent="0.35">
      <c r="C29" s="13"/>
      <c r="D29" s="40" t="s">
        <v>336</v>
      </c>
      <c r="F29" s="367"/>
      <c r="G29" s="13" t="s">
        <v>3</v>
      </c>
      <c r="H29" s="14"/>
      <c r="K29" s="101"/>
      <c r="L29" s="101"/>
      <c r="M29" s="101"/>
    </row>
    <row r="30" spans="3:19" ht="3.9" customHeight="1" thickBot="1" x14ac:dyDescent="0.35">
      <c r="C30" s="13"/>
      <c r="D30" s="15"/>
      <c r="F30" s="13"/>
      <c r="G30" s="13"/>
      <c r="H30" s="14"/>
      <c r="K30" s="101"/>
      <c r="L30" s="101"/>
      <c r="M30" s="101"/>
    </row>
    <row r="31" spans="3:19" ht="18" thickBot="1" x14ac:dyDescent="0.35">
      <c r="C31" s="13"/>
      <c r="D31" s="40" t="s">
        <v>338</v>
      </c>
      <c r="F31" s="363"/>
      <c r="G31" s="13"/>
      <c r="H31" s="482" t="e">
        <f>(F31&lt;((F22*2+F24*2)/F26/2))</f>
        <v>#DIV/0!</v>
      </c>
      <c r="I31" s="483"/>
      <c r="J31" s="253"/>
      <c r="K31" s="366"/>
      <c r="L31" s="101"/>
      <c r="M31" s="101"/>
    </row>
    <row r="32" spans="3:19" ht="3.9" customHeight="1" thickBot="1" x14ac:dyDescent="0.35">
      <c r="C32" s="13"/>
      <c r="D32" s="15"/>
      <c r="F32" s="13"/>
      <c r="G32" s="13"/>
      <c r="H32" s="14"/>
      <c r="K32" s="101"/>
      <c r="L32" s="101"/>
      <c r="M32" s="101"/>
    </row>
    <row r="33" spans="3:17" ht="18" thickBot="1" x14ac:dyDescent="0.35">
      <c r="C33" s="13"/>
      <c r="D33" s="20" t="s">
        <v>6</v>
      </c>
      <c r="F33" s="117">
        <f>((F11*F13)-(F15*F17)-(3.141592654*(F26^2)*(F31)/4))</f>
        <v>0</v>
      </c>
      <c r="G33" s="13" t="s">
        <v>7</v>
      </c>
      <c r="H33" s="14"/>
      <c r="K33" s="101"/>
      <c r="L33" s="101"/>
      <c r="M33" s="101"/>
    </row>
    <row r="34" spans="3:17" ht="18" customHeight="1" x14ac:dyDescent="0.3">
      <c r="C34" s="13"/>
      <c r="D34" s="15"/>
      <c r="F34" s="13"/>
      <c r="G34" s="13"/>
      <c r="H34" s="14"/>
      <c r="K34" s="101"/>
      <c r="L34" s="101"/>
      <c r="M34" s="101"/>
      <c r="Q34" s="64" t="s">
        <v>322</v>
      </c>
    </row>
    <row r="35" spans="3:17" ht="18" customHeight="1" thickBot="1" x14ac:dyDescent="0.45">
      <c r="C35" s="13"/>
      <c r="D35" s="21" t="s">
        <v>289</v>
      </c>
      <c r="E35" s="2"/>
      <c r="F35" s="2"/>
      <c r="G35" s="13"/>
      <c r="H35" s="14"/>
      <c r="K35" s="101"/>
      <c r="L35" s="101"/>
      <c r="M35" s="101"/>
      <c r="Q35" s="65">
        <v>1.5625E-2</v>
      </c>
    </row>
    <row r="36" spans="3:17" ht="18.75" customHeight="1" thickBot="1" x14ac:dyDescent="0.35">
      <c r="C36" s="13"/>
      <c r="D36" s="108" t="s">
        <v>341</v>
      </c>
      <c r="E36" s="2"/>
      <c r="F36" s="361"/>
      <c r="G36" s="13" t="s">
        <v>290</v>
      </c>
      <c r="H36" s="14"/>
      <c r="K36" s="101"/>
      <c r="L36" s="101"/>
      <c r="M36" s="101"/>
      <c r="Q36" s="65">
        <v>3.125E-2</v>
      </c>
    </row>
    <row r="37" spans="3:17" ht="18" customHeight="1" x14ac:dyDescent="0.3">
      <c r="C37" s="13"/>
      <c r="D37" s="15"/>
      <c r="F37" s="13"/>
      <c r="G37" s="13"/>
      <c r="H37" s="14"/>
      <c r="K37" s="101"/>
      <c r="L37" s="101"/>
      <c r="M37" s="101"/>
      <c r="Q37" s="65">
        <v>6.2E-2</v>
      </c>
    </row>
    <row r="38" spans="3:17" ht="19.5" customHeight="1" x14ac:dyDescent="0.3">
      <c r="C38" s="13"/>
      <c r="D38" s="22" t="s">
        <v>81</v>
      </c>
      <c r="F38" s="13"/>
      <c r="G38" s="13"/>
      <c r="H38" s="14"/>
      <c r="K38" s="101"/>
      <c r="L38" s="101"/>
      <c r="M38" s="101"/>
      <c r="Q38" s="65" t="s">
        <v>438</v>
      </c>
    </row>
    <row r="39" spans="3:17" ht="5.25" customHeight="1" thickBot="1" x14ac:dyDescent="0.35">
      <c r="C39" s="13"/>
      <c r="D39" s="15"/>
      <c r="F39" s="13"/>
      <c r="G39" s="13"/>
      <c r="H39" s="14"/>
      <c r="I39" s="364"/>
      <c r="J39" s="364"/>
      <c r="K39" s="364"/>
      <c r="L39" s="364"/>
      <c r="M39" s="101"/>
      <c r="Q39" s="65">
        <v>0.125</v>
      </c>
    </row>
    <row r="40" spans="3:17" ht="18" customHeight="1" thickBot="1" x14ac:dyDescent="0.35">
      <c r="C40" s="13"/>
      <c r="D40" s="40" t="s">
        <v>337</v>
      </c>
      <c r="F40" s="436"/>
      <c r="G40" s="437"/>
      <c r="H40" s="14"/>
      <c r="I40" s="364"/>
      <c r="J40" s="364"/>
      <c r="K40" s="364"/>
      <c r="L40" s="364"/>
      <c r="M40" s="101"/>
    </row>
    <row r="41" spans="3:17" ht="3.75" customHeight="1" thickBot="1" x14ac:dyDescent="0.35">
      <c r="C41" s="13"/>
      <c r="D41" s="15"/>
      <c r="F41" s="2"/>
      <c r="G41" s="14"/>
      <c r="H41" s="14"/>
      <c r="I41" s="364"/>
      <c r="J41" s="364"/>
      <c r="K41" s="364"/>
      <c r="L41" s="364"/>
      <c r="M41" s="101"/>
    </row>
    <row r="42" spans="3:17" ht="18" thickBot="1" x14ac:dyDescent="0.35">
      <c r="C42" s="13"/>
      <c r="D42" s="15" t="s">
        <v>83</v>
      </c>
      <c r="F42" s="106" t="e">
        <f>LOOKUP(F29,AD244:AD265,AE244:AE265)</f>
        <v>#N/A</v>
      </c>
      <c r="G42" s="14" t="s">
        <v>19</v>
      </c>
      <c r="H42" s="14"/>
      <c r="I42" s="364"/>
      <c r="J42" s="364"/>
      <c r="K42" s="364"/>
      <c r="L42" s="364"/>
      <c r="M42" s="101"/>
    </row>
    <row r="43" spans="3:17" ht="17.399999999999999" x14ac:dyDescent="0.3">
      <c r="C43" s="13"/>
      <c r="D43" s="15"/>
      <c r="F43" s="13"/>
      <c r="G43" s="13"/>
      <c r="H43" s="14"/>
      <c r="I43" s="364"/>
      <c r="J43" s="364"/>
      <c r="K43" s="364"/>
      <c r="L43" s="364"/>
      <c r="M43" s="101"/>
    </row>
    <row r="44" spans="3:17" ht="21" x14ac:dyDescent="0.3">
      <c r="C44" s="13"/>
      <c r="D44" s="22" t="s">
        <v>8</v>
      </c>
      <c r="F44" s="13"/>
      <c r="G44" s="13"/>
      <c r="H44" s="14"/>
      <c r="I44" s="364"/>
      <c r="J44" s="364"/>
      <c r="K44" s="364"/>
      <c r="L44" s="364"/>
      <c r="M44" s="101"/>
    </row>
    <row r="45" spans="3:17" ht="6.9" customHeight="1" thickBot="1" x14ac:dyDescent="0.35">
      <c r="C45" s="13"/>
      <c r="D45" s="15"/>
      <c r="F45" s="13"/>
      <c r="G45" s="13"/>
      <c r="H45" s="14"/>
      <c r="I45" s="364"/>
      <c r="J45" s="364"/>
      <c r="K45" s="364"/>
      <c r="L45" s="364"/>
      <c r="M45" s="101"/>
    </row>
    <row r="46" spans="3:17" ht="18" thickBot="1" x14ac:dyDescent="0.35">
      <c r="C46" s="2"/>
      <c r="D46" s="108" t="s">
        <v>342</v>
      </c>
      <c r="F46" s="365"/>
      <c r="G46" s="14" t="s">
        <v>19</v>
      </c>
      <c r="H46" s="276" t="e">
        <f>(F46/F42)</f>
        <v>#N/A</v>
      </c>
      <c r="I46" s="448" t="s">
        <v>429</v>
      </c>
      <c r="J46" s="448"/>
      <c r="K46" s="448"/>
      <c r="L46" s="364"/>
    </row>
    <row r="47" spans="3:17" ht="3.9" customHeight="1" thickBot="1" x14ac:dyDescent="0.3">
      <c r="C47" s="2"/>
      <c r="D47" s="18"/>
      <c r="F47" s="2"/>
      <c r="G47" s="2"/>
      <c r="H47" s="277"/>
      <c r="I47" s="356"/>
      <c r="J47" s="356"/>
      <c r="K47" s="278"/>
      <c r="L47" s="364"/>
    </row>
    <row r="48" spans="3:17" ht="18" thickBot="1" x14ac:dyDescent="0.3">
      <c r="C48" s="13"/>
      <c r="D48" s="15" t="s">
        <v>10</v>
      </c>
      <c r="F48" s="111" t="e">
        <f>(LOOKUP(F29,'BOLT TABLE'!B9:B30,'BOLT TABLE'!C9:C30)*F46)</f>
        <v>#N/A</v>
      </c>
      <c r="G48" s="23" t="s">
        <v>11</v>
      </c>
      <c r="H48" s="279" t="e">
        <f>VLOOKUP(F29,'BOLT TABLE'!$B$9:$D$30,3)</f>
        <v>#N/A</v>
      </c>
      <c r="I48" s="277" t="s">
        <v>431</v>
      </c>
      <c r="J48" s="356"/>
      <c r="K48" s="278"/>
      <c r="L48" s="364"/>
    </row>
    <row r="49" spans="2:27" ht="3.9" customHeight="1" thickBot="1" x14ac:dyDescent="0.35">
      <c r="C49" s="13"/>
      <c r="D49" s="15"/>
      <c r="F49" s="13"/>
      <c r="G49" s="13"/>
      <c r="H49" s="14"/>
      <c r="I49" s="364"/>
      <c r="J49" s="364"/>
      <c r="K49" s="364"/>
      <c r="L49" s="364"/>
    </row>
    <row r="50" spans="2:27" ht="18" thickBot="1" x14ac:dyDescent="0.3">
      <c r="C50" s="13"/>
      <c r="D50" s="15" t="s">
        <v>12</v>
      </c>
      <c r="F50" s="110">
        <f>(F31)</f>
        <v>0</v>
      </c>
      <c r="G50" s="13"/>
      <c r="H50" s="363"/>
      <c r="I50" s="290" t="s">
        <v>448</v>
      </c>
      <c r="O50" s="280" t="e">
        <f>IF(H50=0,H48,IF(H50&gt;0,H50))</f>
        <v>#N/A</v>
      </c>
      <c r="P50" s="126" t="s">
        <v>432</v>
      </c>
    </row>
    <row r="51" spans="2:27" ht="3.9" customHeight="1" thickBot="1" x14ac:dyDescent="0.3">
      <c r="C51" s="13"/>
      <c r="D51" s="15"/>
      <c r="F51" s="13"/>
      <c r="G51" s="13"/>
      <c r="H51" s="13"/>
    </row>
    <row r="52" spans="2:27" ht="18" thickBot="1" x14ac:dyDescent="0.3">
      <c r="C52" s="13"/>
      <c r="D52" s="15" t="s">
        <v>1</v>
      </c>
      <c r="F52" s="117">
        <f>(F33)</f>
        <v>0</v>
      </c>
      <c r="G52" s="13" t="s">
        <v>13</v>
      </c>
      <c r="H52" s="13"/>
    </row>
    <row r="53" spans="2:27" ht="3.9" customHeight="1" thickBot="1" x14ac:dyDescent="0.3">
      <c r="C53" s="13"/>
      <c r="D53" s="15"/>
      <c r="F53" s="13"/>
      <c r="G53" s="13"/>
      <c r="H53" s="13"/>
      <c r="AA53" s="7" t="s">
        <v>80</v>
      </c>
    </row>
    <row r="54" spans="2:27" ht="18" thickBot="1" x14ac:dyDescent="0.3">
      <c r="C54" s="13"/>
      <c r="D54" s="20" t="s">
        <v>14</v>
      </c>
      <c r="F54" s="111" t="e">
        <f>(F48*F50/F52)</f>
        <v>#N/A</v>
      </c>
      <c r="G54" s="23" t="s">
        <v>430</v>
      </c>
      <c r="H54" s="13"/>
    </row>
    <row r="55" spans="2:27" ht="3.9" customHeight="1" thickBot="1" x14ac:dyDescent="0.3">
      <c r="C55" s="2"/>
      <c r="D55" s="18"/>
      <c r="F55" s="2"/>
      <c r="G55" s="2"/>
      <c r="H55" s="2"/>
    </row>
    <row r="56" spans="2:27" ht="18" thickBot="1" x14ac:dyDescent="0.35">
      <c r="C56" s="14"/>
      <c r="D56" s="24" t="s">
        <v>15</v>
      </c>
      <c r="F56" s="106" t="e">
        <f>(O50*F29*F48/12)</f>
        <v>#N/A</v>
      </c>
      <c r="G56" s="289" t="s">
        <v>16</v>
      </c>
      <c r="H56" s="14"/>
    </row>
    <row r="57" spans="2:27" ht="13.8" thickBot="1" x14ac:dyDescent="0.3">
      <c r="B57" s="2"/>
      <c r="C57" s="2"/>
      <c r="D57" s="2"/>
      <c r="E57" s="2"/>
      <c r="F57" s="2"/>
      <c r="G57" s="2"/>
      <c r="H57" s="2"/>
    </row>
    <row r="58" spans="2:27" ht="13.8" thickTop="1" x14ac:dyDescent="0.25">
      <c r="B58" s="454" t="s">
        <v>402</v>
      </c>
      <c r="C58" s="455"/>
      <c r="D58" s="455"/>
      <c r="E58" s="455"/>
      <c r="F58" s="455"/>
      <c r="G58" s="455"/>
      <c r="H58" s="455"/>
      <c r="I58" s="455"/>
      <c r="J58" s="455"/>
      <c r="K58" s="455"/>
      <c r="L58" s="455"/>
      <c r="M58" s="456"/>
      <c r="S58" s="126" t="s">
        <v>388</v>
      </c>
    </row>
    <row r="59" spans="2:27" ht="13.8" customHeight="1" x14ac:dyDescent="0.25">
      <c r="B59" s="457"/>
      <c r="C59" s="458"/>
      <c r="D59" s="458"/>
      <c r="E59" s="458"/>
      <c r="F59" s="458"/>
      <c r="G59" s="458"/>
      <c r="H59" s="458"/>
      <c r="I59" s="458"/>
      <c r="J59" s="458"/>
      <c r="K59" s="458"/>
      <c r="L59" s="458"/>
      <c r="M59" s="459"/>
      <c r="S59" s="126" t="s">
        <v>397</v>
      </c>
    </row>
    <row r="60" spans="2:27" ht="13.2" customHeight="1" thickBot="1" x14ac:dyDescent="0.3">
      <c r="B60" s="460"/>
      <c r="C60" s="461"/>
      <c r="D60" s="461"/>
      <c r="E60" s="461"/>
      <c r="F60" s="461"/>
      <c r="G60" s="461"/>
      <c r="H60" s="461"/>
      <c r="I60" s="461"/>
      <c r="J60" s="461"/>
      <c r="K60" s="461"/>
      <c r="L60" s="461"/>
      <c r="M60" s="462"/>
      <c r="S60" s="126" t="s">
        <v>398</v>
      </c>
    </row>
    <row r="61" spans="2:27" ht="13.8" customHeight="1" thickTop="1" x14ac:dyDescent="0.3">
      <c r="B61" s="83"/>
      <c r="C61" s="33"/>
      <c r="D61" s="33"/>
      <c r="E61" s="82"/>
      <c r="F61" s="83"/>
      <c r="G61" s="83"/>
      <c r="H61" s="82"/>
      <c r="I61" s="82"/>
      <c r="J61" s="82"/>
      <c r="K61" s="82"/>
      <c r="L61" s="82"/>
      <c r="M61" s="82"/>
      <c r="S61" s="126" t="s">
        <v>399</v>
      </c>
    </row>
    <row r="62" spans="2:27" ht="18.75" customHeight="1" thickBot="1" x14ac:dyDescent="0.35">
      <c r="B62" s="25"/>
      <c r="C62" s="2"/>
      <c r="D62" s="2"/>
      <c r="E62" s="14"/>
      <c r="F62" s="2"/>
      <c r="G62" s="2"/>
      <c r="H62" s="2"/>
      <c r="I62" s="2"/>
      <c r="J62" s="2"/>
    </row>
    <row r="63" spans="2:27" ht="45.6" customHeight="1" thickTop="1" x14ac:dyDescent="0.25">
      <c r="B63" s="465" t="s">
        <v>442</v>
      </c>
      <c r="C63" s="466"/>
      <c r="D63" s="466"/>
      <c r="E63" s="466"/>
      <c r="F63" s="466"/>
      <c r="G63" s="466"/>
      <c r="H63" s="490" t="e">
        <f>IF(F67&gt;15000,V63," ")</f>
        <v>#N/A</v>
      </c>
      <c r="I63" s="490"/>
      <c r="J63" s="490"/>
      <c r="K63" s="490"/>
      <c r="L63" s="490"/>
      <c r="M63" s="491"/>
      <c r="N63" s="170"/>
      <c r="O63" s="167"/>
      <c r="S63" s="65">
        <v>1.5625E-2</v>
      </c>
      <c r="T63" s="7">
        <f>IF($F$36&lt;=300,2500,IF($F$36&lt;=800,4800,IF($F$36&lt;=2000,7400)))</f>
        <v>2500</v>
      </c>
      <c r="U63" s="128">
        <f>+IF($F$11&lt;24,T63,T63+$T$30)</f>
        <v>2500</v>
      </c>
      <c r="V63" s="7" t="s">
        <v>326</v>
      </c>
    </row>
    <row r="64" spans="2:27" ht="18.75" customHeight="1" thickBot="1" x14ac:dyDescent="0.3">
      <c r="B64" s="443" t="str">
        <f>IF($F$36&gt;2000,"MOST STYLES ARE NOT RECOMMENDED FOR THE GIVEN PRESSURE"," ")</f>
        <v xml:space="preserve"> </v>
      </c>
      <c r="C64" s="444"/>
      <c r="D64" s="444"/>
      <c r="E64" s="444"/>
      <c r="F64" s="444"/>
      <c r="G64" s="444"/>
      <c r="H64" s="444" t="str">
        <f>IF($F$7=$Q$38,"THICKNESS APPLIES TO GYLON EPIX ONLY"," ")</f>
        <v xml:space="preserve"> </v>
      </c>
      <c r="I64" s="444"/>
      <c r="J64" s="444"/>
      <c r="K64" s="444"/>
      <c r="L64" s="444"/>
      <c r="M64" s="449"/>
      <c r="N64" s="171"/>
      <c r="O64" s="164"/>
      <c r="S64" s="65">
        <v>3.125E-2</v>
      </c>
      <c r="T64" s="7">
        <f>IF($F$36&lt;=300,2500,IF($F$36&lt;=800,4800,IF($F$36&lt;=2000,7400)))</f>
        <v>2500</v>
      </c>
      <c r="U64" s="128">
        <f>+IF($F$11&lt;24,T64,T64+$T$30)</f>
        <v>2500</v>
      </c>
    </row>
    <row r="65" spans="2:22" ht="18.75" customHeight="1" thickBot="1" x14ac:dyDescent="0.35">
      <c r="B65" s="1"/>
      <c r="C65" s="2"/>
      <c r="D65" s="17" t="s">
        <v>319</v>
      </c>
      <c r="E65" s="2"/>
      <c r="F65" s="228">
        <f>($F$7)</f>
        <v>0</v>
      </c>
      <c r="G65" s="14" t="s">
        <v>321</v>
      </c>
      <c r="H65" s="38"/>
      <c r="I65" s="445" t="s">
        <v>396</v>
      </c>
      <c r="J65" s="445"/>
      <c r="K65" s="445"/>
      <c r="L65" s="445"/>
      <c r="M65" s="217"/>
      <c r="N65" s="173"/>
      <c r="O65" s="38"/>
      <c r="S65" s="65">
        <v>6.2E-2</v>
      </c>
      <c r="T65" s="7">
        <f>IF($F$36&lt;=300,3600,IF($F$36&lt;=800,5400,IF($F$36&lt;=2000,8400)))</f>
        <v>3600</v>
      </c>
      <c r="U65" s="128">
        <f>+IF($F$11&lt;24,T65,T65+$T$30)</f>
        <v>3600</v>
      </c>
    </row>
    <row r="66" spans="2:22" ht="19.2" customHeight="1" thickBot="1" x14ac:dyDescent="0.35">
      <c r="B66" s="50"/>
      <c r="C66" s="227"/>
      <c r="D66" s="14"/>
      <c r="E66" s="2"/>
      <c r="F66" s="57"/>
      <c r="G66" s="14"/>
      <c r="H66" s="227"/>
      <c r="I66" s="227"/>
      <c r="J66" s="227"/>
      <c r="K66" s="46"/>
      <c r="L66" s="181"/>
      <c r="M66" s="180"/>
      <c r="N66" s="173"/>
      <c r="O66" s="46"/>
      <c r="S66" s="65">
        <v>0.125</v>
      </c>
      <c r="T66" s="7">
        <f>IF($F$36&lt;=300,4800,IF($F$36&lt;=800,6400,IF($F$36&lt;=2000,9400)))</f>
        <v>4800</v>
      </c>
      <c r="U66" s="128">
        <f>+IF($F$11&lt;24,T66,T66+$T$30)</f>
        <v>4800</v>
      </c>
    </row>
    <row r="67" spans="2:22" ht="18.75" customHeight="1" thickBot="1" x14ac:dyDescent="0.3">
      <c r="B67" s="440" t="s">
        <v>389</v>
      </c>
      <c r="C67" s="187"/>
      <c r="D67" s="188" t="s">
        <v>390</v>
      </c>
      <c r="E67" s="189"/>
      <c r="F67" s="224" t="e">
        <f>LOOKUP(F65,S63:S67,U63:U67)</f>
        <v>#N/A</v>
      </c>
      <c r="G67" s="210" t="s">
        <v>19</v>
      </c>
      <c r="H67" s="220"/>
      <c r="I67" s="431" t="e">
        <f>IF(U71&lt;=0.75,$S$58,IF(U71&lt;=0.9,$S$59,IF(U71&lt;1,$S$60,IF(U71&gt;=1,$S$61))))</f>
        <v>#N/A</v>
      </c>
      <c r="J67" s="431"/>
      <c r="K67" s="431"/>
      <c r="L67" s="431"/>
      <c r="M67" s="221"/>
      <c r="N67" s="173"/>
      <c r="O67" s="46"/>
      <c r="S67" s="7" t="s">
        <v>438</v>
      </c>
      <c r="T67" s="7">
        <f>IF($F$36&lt;=300,3600,IF($F$36&lt;=800,5400,IF($F$36&lt;=2000,8400)))</f>
        <v>3600</v>
      </c>
      <c r="U67" s="128">
        <f>+IF($F$11&lt;24,T67,T67+$T$30)</f>
        <v>3600</v>
      </c>
    </row>
    <row r="68" spans="2:22" ht="3.75" customHeight="1" thickBot="1" x14ac:dyDescent="0.35">
      <c r="B68" s="440"/>
      <c r="C68" s="190"/>
      <c r="D68" s="191"/>
      <c r="E68" s="192"/>
      <c r="F68" s="193"/>
      <c r="G68" s="191"/>
      <c r="H68" s="190"/>
      <c r="I68" s="431"/>
      <c r="J68" s="431"/>
      <c r="K68" s="431"/>
      <c r="L68" s="431"/>
      <c r="M68" s="221"/>
      <c r="N68" s="173"/>
      <c r="O68" s="39"/>
      <c r="S68" s="7">
        <f>IF($F$26&lt;301,2500,IF($F$26&lt;801,4800,IF($F$26&lt;2001,7400,IF($F$26&gt;2000,$S$11))))</f>
        <v>2500</v>
      </c>
      <c r="T68" s="7">
        <f>IF($F$26&lt;301,3600,IF($F$26&lt;801,5400,IF($F$26&lt;2001,8400,IF($F$26&gt;2000,$S$11))))</f>
        <v>3600</v>
      </c>
      <c r="U68" s="7">
        <f>IF($F$26&lt;301,4800,IF($F$26&lt;801,6400,IF($F$26&lt;2001,9400,IF($F$26&gt;2000,$S$11))))</f>
        <v>4800</v>
      </c>
    </row>
    <row r="69" spans="2:22" ht="18.75" customHeight="1" thickBot="1" x14ac:dyDescent="0.35">
      <c r="B69" s="440"/>
      <c r="C69" s="190"/>
      <c r="D69" s="194" t="s">
        <v>391</v>
      </c>
      <c r="E69" s="195"/>
      <c r="F69" s="225" t="e">
        <f>(F67*$F$56/$F$54)</f>
        <v>#N/A</v>
      </c>
      <c r="G69" s="211" t="s">
        <v>16</v>
      </c>
      <c r="H69" s="190"/>
      <c r="I69" s="431"/>
      <c r="J69" s="431"/>
      <c r="K69" s="431"/>
      <c r="L69" s="431"/>
      <c r="M69" s="221"/>
      <c r="N69" s="173"/>
      <c r="O69" s="39"/>
    </row>
    <row r="70" spans="2:22" ht="3.75" customHeight="1" thickBot="1" x14ac:dyDescent="0.35">
      <c r="B70" s="440"/>
      <c r="C70" s="196"/>
      <c r="D70" s="197"/>
      <c r="E70" s="192"/>
      <c r="F70" s="193"/>
      <c r="G70" s="212"/>
      <c r="H70" s="196"/>
      <c r="I70" s="431"/>
      <c r="J70" s="431"/>
      <c r="K70" s="431"/>
      <c r="L70" s="431"/>
      <c r="M70" s="221"/>
      <c r="N70" s="173"/>
      <c r="O70" s="94"/>
    </row>
    <row r="71" spans="2:22" ht="18.75" customHeight="1" thickBot="1" x14ac:dyDescent="0.35">
      <c r="B71" s="440"/>
      <c r="C71" s="196"/>
      <c r="D71" s="197" t="s">
        <v>392</v>
      </c>
      <c r="E71" s="192"/>
      <c r="F71" s="225" t="e">
        <f>(F67*$F$46/$F$54)</f>
        <v>#N/A</v>
      </c>
      <c r="G71" s="213" t="s">
        <v>19</v>
      </c>
      <c r="H71" s="196"/>
      <c r="I71" s="431"/>
      <c r="J71" s="431"/>
      <c r="K71" s="431"/>
      <c r="L71" s="431"/>
      <c r="M71" s="221"/>
      <c r="N71" s="173"/>
      <c r="O71" s="94"/>
      <c r="S71" s="206" t="s">
        <v>394</v>
      </c>
      <c r="T71" s="207"/>
      <c r="U71" s="208" t="e">
        <f>F71/$F$42</f>
        <v>#N/A</v>
      </c>
    </row>
    <row r="72" spans="2:22" ht="18" customHeight="1" thickBot="1" x14ac:dyDescent="0.3">
      <c r="B72" s="1"/>
      <c r="C72" s="11"/>
      <c r="D72" s="95"/>
      <c r="E72" s="94"/>
      <c r="F72" s="96"/>
      <c r="G72" s="97"/>
      <c r="H72" s="84"/>
      <c r="I72" s="84"/>
      <c r="J72" s="84"/>
      <c r="K72" s="84"/>
      <c r="L72" s="181"/>
      <c r="M72" s="180"/>
      <c r="N72" s="173"/>
      <c r="O72" s="84"/>
    </row>
    <row r="73" spans="2:22" ht="18.75" customHeight="1" thickBot="1" x14ac:dyDescent="0.3">
      <c r="B73" s="440" t="s">
        <v>393</v>
      </c>
      <c r="C73" s="198"/>
      <c r="D73" s="199" t="s">
        <v>390</v>
      </c>
      <c r="E73" s="196"/>
      <c r="F73" s="226">
        <v>15000</v>
      </c>
      <c r="G73" s="214" t="s">
        <v>19</v>
      </c>
      <c r="H73" s="220"/>
      <c r="I73" s="431" t="e">
        <f>IF(U77&lt;=0.75,$S$58,IF(U77&lt;=0.9,$S$59,IF(U77&lt;1,$S$60,IF(U77&gt;=1,$S$61))))</f>
        <v>#N/A</v>
      </c>
      <c r="J73" s="431"/>
      <c r="K73" s="431"/>
      <c r="L73" s="431"/>
      <c r="M73" s="221"/>
      <c r="N73" s="174"/>
      <c r="O73" s="84"/>
    </row>
    <row r="74" spans="2:22" ht="3.75" customHeight="1" thickBot="1" x14ac:dyDescent="0.3">
      <c r="B74" s="440"/>
      <c r="C74" s="198"/>
      <c r="D74" s="188"/>
      <c r="E74" s="201"/>
      <c r="F74" s="202"/>
      <c r="G74" s="215"/>
      <c r="H74" s="220"/>
      <c r="I74" s="431"/>
      <c r="J74" s="431"/>
      <c r="K74" s="431"/>
      <c r="L74" s="431"/>
      <c r="M74" s="221"/>
      <c r="N74" s="174"/>
      <c r="O74" s="84"/>
    </row>
    <row r="75" spans="2:22" ht="18.75" customHeight="1" thickBot="1" x14ac:dyDescent="0.35">
      <c r="B75" s="440"/>
      <c r="C75" s="198"/>
      <c r="D75" s="188" t="s">
        <v>391</v>
      </c>
      <c r="E75" s="198"/>
      <c r="F75" s="225" t="e">
        <f>(F73*$F$56/$F$54)</f>
        <v>#N/A</v>
      </c>
      <c r="G75" s="210" t="s">
        <v>16</v>
      </c>
      <c r="H75" s="222"/>
      <c r="I75" s="431"/>
      <c r="J75" s="431"/>
      <c r="K75" s="431"/>
      <c r="L75" s="431"/>
      <c r="M75" s="221"/>
      <c r="N75" s="174"/>
      <c r="O75" s="84"/>
    </row>
    <row r="76" spans="2:22" ht="3.75" customHeight="1" thickBot="1" x14ac:dyDescent="0.3">
      <c r="B76" s="440"/>
      <c r="C76" s="201"/>
      <c r="D76" s="203"/>
      <c r="E76" s="198"/>
      <c r="F76" s="204"/>
      <c r="G76" s="216"/>
      <c r="H76" s="223"/>
      <c r="I76" s="431"/>
      <c r="J76" s="431"/>
      <c r="K76" s="431"/>
      <c r="L76" s="431"/>
      <c r="M76" s="221"/>
      <c r="N76" s="175"/>
      <c r="O76" s="84"/>
    </row>
    <row r="77" spans="2:22" ht="18.75" customHeight="1" thickBot="1" x14ac:dyDescent="0.35">
      <c r="B77" s="440"/>
      <c r="C77" s="205"/>
      <c r="D77" s="188" t="s">
        <v>392</v>
      </c>
      <c r="E77" s="198"/>
      <c r="F77" s="225" t="e">
        <f>(F73*$F$46/$F$54)</f>
        <v>#N/A</v>
      </c>
      <c r="G77" s="213" t="s">
        <v>19</v>
      </c>
      <c r="H77" s="223"/>
      <c r="I77" s="431"/>
      <c r="J77" s="431"/>
      <c r="K77" s="431"/>
      <c r="L77" s="431"/>
      <c r="M77" s="221"/>
      <c r="N77" s="175"/>
      <c r="O77" s="84"/>
      <c r="S77" s="206" t="s">
        <v>395</v>
      </c>
      <c r="T77" s="207"/>
      <c r="U77" s="208" t="e">
        <f>F77/$F$42</f>
        <v>#N/A</v>
      </c>
    </row>
    <row r="78" spans="2:22" ht="3.75" customHeight="1" thickBot="1" x14ac:dyDescent="0.3">
      <c r="B78" s="59"/>
      <c r="C78" s="60"/>
      <c r="D78" s="61"/>
      <c r="E78" s="60"/>
      <c r="F78" s="62"/>
      <c r="G78" s="60"/>
      <c r="H78" s="184"/>
      <c r="I78" s="184"/>
      <c r="J78" s="184"/>
      <c r="K78" s="184"/>
      <c r="L78" s="185"/>
      <c r="M78" s="186"/>
      <c r="N78" s="171"/>
      <c r="O78" s="164"/>
    </row>
    <row r="79" spans="2:22" ht="18.75" customHeight="1" thickTop="1" thickBot="1" x14ac:dyDescent="0.3">
      <c r="B79" s="38"/>
      <c r="C79" s="44"/>
      <c r="D79" s="48"/>
      <c r="E79" s="44"/>
      <c r="F79" s="44"/>
      <c r="G79" s="45"/>
      <c r="H79" s="38"/>
      <c r="I79" s="38"/>
      <c r="J79" s="38"/>
      <c r="K79" s="38"/>
      <c r="L79" s="176"/>
      <c r="M79" s="176"/>
      <c r="N79" s="176"/>
      <c r="O79" s="38"/>
    </row>
    <row r="80" spans="2:22" ht="36" customHeight="1" thickTop="1" x14ac:dyDescent="0.25">
      <c r="B80" s="244" t="s">
        <v>403</v>
      </c>
      <c r="C80" s="245"/>
      <c r="D80" s="245"/>
      <c r="E80" s="245"/>
      <c r="F80" s="245"/>
      <c r="G80" s="245"/>
      <c r="H80" s="490" t="e">
        <f>IF(F84&gt;10000,V80," ")</f>
        <v>#N/A</v>
      </c>
      <c r="I80" s="490"/>
      <c r="J80" s="490"/>
      <c r="K80" s="490"/>
      <c r="L80" s="490"/>
      <c r="M80" s="491"/>
      <c r="N80" s="170"/>
      <c r="O80" s="167"/>
      <c r="S80" s="65">
        <v>1.5625E-2</v>
      </c>
      <c r="T80" s="7">
        <f>IF($F$36&lt;=300,2500,IF($F$36&lt;=800,4800,IF($F$36&lt;=2000,7400)))</f>
        <v>2500</v>
      </c>
      <c r="U80" s="128">
        <f>+IF($F$11&lt;24,T80,T80+$T$30)</f>
        <v>2500</v>
      </c>
      <c r="V80" s="7" t="s">
        <v>326</v>
      </c>
    </row>
    <row r="81" spans="2:21" ht="18.75" customHeight="1" thickBot="1" x14ac:dyDescent="0.3">
      <c r="B81" s="443" t="str">
        <f>IF($F$36&gt;500,"NOT RECOMMENDED FOR THE GIVEN PRESSURE"," ")</f>
        <v xml:space="preserve"> </v>
      </c>
      <c r="C81" s="444"/>
      <c r="D81" s="444"/>
      <c r="E81" s="444"/>
      <c r="F81" s="444"/>
      <c r="G81" s="444"/>
      <c r="H81" s="444" t="str">
        <f>IF($F$7=$Q$38,"THICKNESS APPLIES TO GYLON EPIX ONLY"," ")</f>
        <v xml:space="preserve"> </v>
      </c>
      <c r="I81" s="444"/>
      <c r="J81" s="444"/>
      <c r="K81" s="444"/>
      <c r="L81" s="444"/>
      <c r="M81" s="449"/>
      <c r="N81" s="171"/>
      <c r="O81" s="164"/>
      <c r="S81" s="65">
        <v>3.125E-2</v>
      </c>
      <c r="T81" s="7">
        <f>IF($F$36&lt;=300,2500,IF($F$36&lt;=800,4800,IF($F$36&lt;=2000,7400)))</f>
        <v>2500</v>
      </c>
      <c r="U81" s="128">
        <f>+IF($F$11&lt;24,T81,T81+$T$30)</f>
        <v>2500</v>
      </c>
    </row>
    <row r="82" spans="2:21" ht="18.75" customHeight="1" thickBot="1" x14ac:dyDescent="0.35">
      <c r="B82" s="1"/>
      <c r="C82" s="2"/>
      <c r="D82" s="17" t="s">
        <v>319</v>
      </c>
      <c r="E82" s="2"/>
      <c r="F82" s="228">
        <f>($F$7)</f>
        <v>0</v>
      </c>
      <c r="G82" s="14" t="s">
        <v>321</v>
      </c>
      <c r="H82" s="38"/>
      <c r="I82" s="445" t="s">
        <v>396</v>
      </c>
      <c r="J82" s="445"/>
      <c r="K82" s="445"/>
      <c r="L82" s="445"/>
      <c r="M82" s="217"/>
      <c r="N82" s="173"/>
      <c r="O82" s="38"/>
      <c r="S82" s="65">
        <v>6.2E-2</v>
      </c>
      <c r="T82" s="7">
        <f>IF($F$36&lt;=300,3600,IF($F$36&lt;=800,5400,IF($F$36&lt;=2000,8400)))</f>
        <v>3600</v>
      </c>
      <c r="U82" s="128">
        <f>+IF($F$11&lt;24,T82,T82+$T$30)</f>
        <v>3600</v>
      </c>
    </row>
    <row r="83" spans="2:21" ht="19.2" customHeight="1" thickBot="1" x14ac:dyDescent="0.35">
      <c r="B83" s="50"/>
      <c r="C83" s="227"/>
      <c r="D83" s="14"/>
      <c r="E83" s="2"/>
      <c r="F83" s="57"/>
      <c r="G83" s="14"/>
      <c r="H83" s="227"/>
      <c r="I83" s="227"/>
      <c r="J83" s="227"/>
      <c r="K83" s="46"/>
      <c r="L83" s="181"/>
      <c r="M83" s="180"/>
      <c r="N83" s="173"/>
      <c r="O83" s="46"/>
      <c r="S83" s="65">
        <v>0.125</v>
      </c>
      <c r="T83" s="7">
        <f>IF($F$36&lt;=300,4800,IF($F$36&lt;=800,6400,IF($F$36&lt;=2000,9400)))</f>
        <v>4800</v>
      </c>
      <c r="U83" s="128">
        <f>+IF($F$11&lt;24,T83,T83+$T$30)</f>
        <v>4800</v>
      </c>
    </row>
    <row r="84" spans="2:21" ht="18.75" customHeight="1" thickBot="1" x14ac:dyDescent="0.3">
      <c r="B84" s="440" t="s">
        <v>389</v>
      </c>
      <c r="C84" s="187"/>
      <c r="D84" s="188" t="s">
        <v>390</v>
      </c>
      <c r="E84" s="189"/>
      <c r="F84" s="224" t="e">
        <f>LOOKUP(F82,S80:S83,U80:U83)</f>
        <v>#N/A</v>
      </c>
      <c r="G84" s="210" t="s">
        <v>19</v>
      </c>
      <c r="H84" s="220"/>
      <c r="I84" s="431" t="e">
        <f>IF(U88&lt;=0.75,$S$58,IF(U88&lt;=0.9,$S$59,IF(U88&lt;1,$S$60,IF(U88&gt;=1,$S$61))))</f>
        <v>#N/A</v>
      </c>
      <c r="J84" s="431"/>
      <c r="K84" s="431"/>
      <c r="L84" s="431"/>
      <c r="M84" s="221"/>
      <c r="N84" s="173"/>
      <c r="O84" s="46"/>
    </row>
    <row r="85" spans="2:21" ht="3.75" customHeight="1" thickBot="1" x14ac:dyDescent="0.35">
      <c r="B85" s="440"/>
      <c r="C85" s="190"/>
      <c r="D85" s="191"/>
      <c r="E85" s="192"/>
      <c r="F85" s="193"/>
      <c r="G85" s="191"/>
      <c r="H85" s="190"/>
      <c r="I85" s="431"/>
      <c r="J85" s="431"/>
      <c r="K85" s="431"/>
      <c r="L85" s="431"/>
      <c r="M85" s="221"/>
      <c r="N85" s="173"/>
      <c r="O85" s="39"/>
      <c r="S85" s="7">
        <f>IF($F$26&lt;301,2500,IF($F$26&lt;801,4800,IF($F$26&lt;2001,7400,IF($F$26&gt;2000,$S$11))))</f>
        <v>2500</v>
      </c>
      <c r="T85" s="7">
        <f>IF($F$26&lt;301,3600,IF($F$26&lt;801,5400,IF($F$26&lt;2001,8400,IF($F$26&gt;2000,$S$11))))</f>
        <v>3600</v>
      </c>
    </row>
    <row r="86" spans="2:21" ht="18.75" customHeight="1" thickBot="1" x14ac:dyDescent="0.35">
      <c r="B86" s="440"/>
      <c r="C86" s="190"/>
      <c r="D86" s="194" t="s">
        <v>391</v>
      </c>
      <c r="E86" s="195"/>
      <c r="F86" s="225" t="e">
        <f>(F84*$F$56/$F$54)</f>
        <v>#N/A</v>
      </c>
      <c r="G86" s="211" t="s">
        <v>16</v>
      </c>
      <c r="H86" s="190"/>
      <c r="I86" s="431"/>
      <c r="J86" s="431"/>
      <c r="K86" s="431"/>
      <c r="L86" s="431"/>
      <c r="M86" s="221"/>
      <c r="N86" s="173"/>
      <c r="O86" s="39"/>
    </row>
    <row r="87" spans="2:21" ht="3.75" customHeight="1" thickBot="1" x14ac:dyDescent="0.35">
      <c r="B87" s="440"/>
      <c r="C87" s="196"/>
      <c r="D87" s="197"/>
      <c r="E87" s="192"/>
      <c r="F87" s="193"/>
      <c r="G87" s="212"/>
      <c r="H87" s="196"/>
      <c r="I87" s="431"/>
      <c r="J87" s="431"/>
      <c r="K87" s="431"/>
      <c r="L87" s="431"/>
      <c r="M87" s="221"/>
      <c r="N87" s="173"/>
      <c r="O87" s="94"/>
    </row>
    <row r="88" spans="2:21" ht="18.75" customHeight="1" thickBot="1" x14ac:dyDescent="0.35">
      <c r="B88" s="440"/>
      <c r="C88" s="196"/>
      <c r="D88" s="197" t="s">
        <v>392</v>
      </c>
      <c r="E88" s="192"/>
      <c r="F88" s="225" t="e">
        <f>(F84*$F$46/$F$54)</f>
        <v>#N/A</v>
      </c>
      <c r="G88" s="213" t="s">
        <v>19</v>
      </c>
      <c r="H88" s="196"/>
      <c r="I88" s="431"/>
      <c r="J88" s="431"/>
      <c r="K88" s="431"/>
      <c r="L88" s="431"/>
      <c r="M88" s="221"/>
      <c r="N88" s="173"/>
      <c r="O88" s="94"/>
      <c r="S88" s="206" t="s">
        <v>394</v>
      </c>
      <c r="T88" s="207"/>
      <c r="U88" s="208" t="e">
        <f>F88/$F$42</f>
        <v>#N/A</v>
      </c>
    </row>
    <row r="89" spans="2:21" ht="19.2" customHeight="1" thickBot="1" x14ac:dyDescent="0.3">
      <c r="B89" s="1"/>
      <c r="C89" s="11"/>
      <c r="D89" s="95"/>
      <c r="E89" s="94"/>
      <c r="F89" s="96"/>
      <c r="G89" s="97"/>
      <c r="H89" s="84"/>
      <c r="I89" s="84"/>
      <c r="J89" s="84"/>
      <c r="K89" s="84"/>
      <c r="L89" s="181"/>
      <c r="M89" s="180"/>
      <c r="N89" s="173"/>
      <c r="O89" s="84"/>
    </row>
    <row r="90" spans="2:21" ht="18.75" customHeight="1" thickBot="1" x14ac:dyDescent="0.3">
      <c r="B90" s="440" t="s">
        <v>393</v>
      </c>
      <c r="C90" s="198"/>
      <c r="D90" s="199" t="s">
        <v>390</v>
      </c>
      <c r="E90" s="196"/>
      <c r="F90" s="226">
        <v>10000</v>
      </c>
      <c r="G90" s="214" t="s">
        <v>19</v>
      </c>
      <c r="H90" s="220"/>
      <c r="I90" s="431" t="e">
        <f>IF(U94&lt;=0.75,$S$58,IF(U94&lt;=0.9,$S$59,IF(U94&lt;1,$S$60,IF(U94&gt;=1,$S$61))))</f>
        <v>#N/A</v>
      </c>
      <c r="J90" s="431"/>
      <c r="K90" s="431"/>
      <c r="L90" s="431"/>
      <c r="M90" s="221"/>
      <c r="N90" s="174"/>
      <c r="O90" s="84"/>
    </row>
    <row r="91" spans="2:21" ht="3.75" customHeight="1" thickBot="1" x14ac:dyDescent="0.3">
      <c r="B91" s="440"/>
      <c r="C91" s="198"/>
      <c r="D91" s="188"/>
      <c r="E91" s="201"/>
      <c r="F91" s="202"/>
      <c r="G91" s="215"/>
      <c r="H91" s="220"/>
      <c r="I91" s="431"/>
      <c r="J91" s="431"/>
      <c r="K91" s="431"/>
      <c r="L91" s="431"/>
      <c r="M91" s="221"/>
      <c r="N91" s="174"/>
      <c r="O91" s="84"/>
    </row>
    <row r="92" spans="2:21" ht="18.75" customHeight="1" thickBot="1" x14ac:dyDescent="0.35">
      <c r="B92" s="440"/>
      <c r="C92" s="198"/>
      <c r="D92" s="188" t="s">
        <v>391</v>
      </c>
      <c r="E92" s="198"/>
      <c r="F92" s="225" t="e">
        <f>(F90*$F$56/$F$54)</f>
        <v>#N/A</v>
      </c>
      <c r="G92" s="210" t="s">
        <v>16</v>
      </c>
      <c r="H92" s="222"/>
      <c r="I92" s="431"/>
      <c r="J92" s="431"/>
      <c r="K92" s="431"/>
      <c r="L92" s="431"/>
      <c r="M92" s="221"/>
      <c r="N92" s="174"/>
      <c r="O92" s="84"/>
    </row>
    <row r="93" spans="2:21" ht="3.75" customHeight="1" thickBot="1" x14ac:dyDescent="0.3">
      <c r="B93" s="440"/>
      <c r="C93" s="201"/>
      <c r="D93" s="203"/>
      <c r="E93" s="198"/>
      <c r="F93" s="204"/>
      <c r="G93" s="216"/>
      <c r="H93" s="223"/>
      <c r="I93" s="431"/>
      <c r="J93" s="431"/>
      <c r="K93" s="431"/>
      <c r="L93" s="431"/>
      <c r="M93" s="221"/>
      <c r="N93" s="175"/>
      <c r="O93" s="84"/>
    </row>
    <row r="94" spans="2:21" ht="18.75" customHeight="1" thickBot="1" x14ac:dyDescent="0.35">
      <c r="B94" s="440"/>
      <c r="C94" s="205"/>
      <c r="D94" s="188" t="s">
        <v>392</v>
      </c>
      <c r="E94" s="198"/>
      <c r="F94" s="225" t="e">
        <f>(F90*$F$46/$F$54)</f>
        <v>#N/A</v>
      </c>
      <c r="G94" s="213" t="s">
        <v>19</v>
      </c>
      <c r="H94" s="223"/>
      <c r="I94" s="431"/>
      <c r="J94" s="431"/>
      <c r="K94" s="431"/>
      <c r="L94" s="431"/>
      <c r="M94" s="221"/>
      <c r="N94" s="175"/>
      <c r="O94" s="84"/>
      <c r="S94" s="206" t="s">
        <v>395</v>
      </c>
      <c r="T94" s="207"/>
      <c r="U94" s="208" t="e">
        <f>F94/$F$42</f>
        <v>#N/A</v>
      </c>
    </row>
    <row r="95" spans="2:21" ht="3.75" customHeight="1" thickBot="1" x14ac:dyDescent="0.3">
      <c r="B95" s="59"/>
      <c r="C95" s="60"/>
      <c r="D95" s="61"/>
      <c r="E95" s="60"/>
      <c r="F95" s="62"/>
      <c r="G95" s="60"/>
      <c r="H95" s="184"/>
      <c r="I95" s="184"/>
      <c r="J95" s="184"/>
      <c r="K95" s="184"/>
      <c r="L95" s="185"/>
      <c r="M95" s="186"/>
      <c r="N95" s="171"/>
      <c r="O95" s="164"/>
    </row>
    <row r="96" spans="2:21" ht="18.75" customHeight="1" thickTop="1" thickBot="1" x14ac:dyDescent="0.3">
      <c r="B96" s="38"/>
      <c r="C96" s="44"/>
      <c r="D96" s="48"/>
      <c r="E96" s="44"/>
      <c r="F96" s="44"/>
      <c r="G96" s="45"/>
      <c r="H96" s="38"/>
      <c r="I96" s="38"/>
      <c r="J96" s="38"/>
      <c r="K96" s="38"/>
      <c r="L96" s="176"/>
      <c r="M96" s="176"/>
      <c r="N96" s="176"/>
      <c r="O96" s="38"/>
    </row>
    <row r="97" spans="2:22" ht="36" customHeight="1" thickTop="1" x14ac:dyDescent="0.25">
      <c r="B97" s="244" t="s">
        <v>439</v>
      </c>
      <c r="C97" s="245"/>
      <c r="D97" s="245"/>
      <c r="E97" s="245"/>
      <c r="F97" s="245"/>
      <c r="G97" s="245"/>
      <c r="H97" s="490" t="e">
        <f>IF(F101&gt;10000,V97," ")</f>
        <v>#N/A</v>
      </c>
      <c r="I97" s="490"/>
      <c r="J97" s="490"/>
      <c r="K97" s="490"/>
      <c r="L97" s="490"/>
      <c r="M97" s="491"/>
      <c r="N97" s="170"/>
      <c r="O97" s="167"/>
      <c r="S97" s="65">
        <v>1.5625E-2</v>
      </c>
      <c r="T97" s="7">
        <f>IF($F$36&lt;=300,2500,IF($F$36&lt;=800,4800,IF($F$36&lt;=2000,7400)))</f>
        <v>2500</v>
      </c>
      <c r="U97" s="128">
        <f>+IF($F$11&lt;24,T97,T97+$T$30)</f>
        <v>2500</v>
      </c>
      <c r="V97" s="7" t="s">
        <v>326</v>
      </c>
    </row>
    <row r="98" spans="2:22" ht="18.75" customHeight="1" thickBot="1" x14ac:dyDescent="0.3">
      <c r="B98" s="443" t="str">
        <f>IF($F$36&gt;2000,"NOT RECOMMENDED FOR THE GIVEN PRESSURE"," ")</f>
        <v xml:space="preserve"> </v>
      </c>
      <c r="C98" s="444"/>
      <c r="D98" s="444"/>
      <c r="E98" s="444"/>
      <c r="F98" s="444"/>
      <c r="G98" s="444"/>
      <c r="H98" s="444" t="str">
        <f>IF($F$7=$Q$38,"THICKNESS APPLIES TO GYLON EPIX ONLY"," ")</f>
        <v xml:space="preserve"> </v>
      </c>
      <c r="I98" s="444"/>
      <c r="J98" s="444"/>
      <c r="K98" s="444"/>
      <c r="L98" s="444"/>
      <c r="M98" s="449"/>
      <c r="N98" s="171"/>
      <c r="O98" s="164"/>
      <c r="S98" s="65">
        <v>3.125E-2</v>
      </c>
      <c r="T98" s="7">
        <f>IF($F$36&lt;=300,2500,IF($F$36&lt;=800,4800,IF($F$36&lt;=2000,7400)))</f>
        <v>2500</v>
      </c>
      <c r="U98" s="128">
        <f>+IF($F$11&lt;24,T98,T98+$T$30)</f>
        <v>2500</v>
      </c>
    </row>
    <row r="99" spans="2:22" ht="18.75" customHeight="1" thickBot="1" x14ac:dyDescent="0.35">
      <c r="B99" s="1"/>
      <c r="C99" s="2"/>
      <c r="D99" s="17" t="s">
        <v>319</v>
      </c>
      <c r="E99" s="2"/>
      <c r="F99" s="228">
        <f>($F$7)</f>
        <v>0</v>
      </c>
      <c r="G99" s="14" t="s">
        <v>321</v>
      </c>
      <c r="H99" s="38"/>
      <c r="I99" s="445" t="s">
        <v>396</v>
      </c>
      <c r="J99" s="445"/>
      <c r="K99" s="445"/>
      <c r="L99" s="445"/>
      <c r="M99" s="217"/>
      <c r="N99" s="173"/>
      <c r="O99" s="38"/>
      <c r="S99" s="65">
        <v>6.2E-2</v>
      </c>
      <c r="T99" s="7">
        <f>IF($F$36&lt;=300,3600,IF($F$36&lt;=800,5400,IF($F$36&lt;=2000,8400)))</f>
        <v>3600</v>
      </c>
      <c r="U99" s="128">
        <f>+IF($F$11&lt;24,T99,T99+$T$30)</f>
        <v>3600</v>
      </c>
    </row>
    <row r="100" spans="2:22" ht="19.2" customHeight="1" thickBot="1" x14ac:dyDescent="0.35">
      <c r="B100" s="50"/>
      <c r="C100" s="227"/>
      <c r="D100" s="14"/>
      <c r="E100" s="2"/>
      <c r="F100" s="57"/>
      <c r="G100" s="14"/>
      <c r="H100" s="227"/>
      <c r="I100" s="227"/>
      <c r="J100" s="227"/>
      <c r="K100" s="46"/>
      <c r="L100" s="181"/>
      <c r="M100" s="180"/>
      <c r="N100" s="173"/>
      <c r="O100" s="46"/>
      <c r="S100" s="65">
        <v>0.125</v>
      </c>
      <c r="T100" s="7">
        <f>IF($F$36&lt;=300,4800,IF($F$36&lt;=800,6400,IF($F$36&lt;=2000,9400)))</f>
        <v>4800</v>
      </c>
      <c r="U100" s="128">
        <f>+IF($F$11&lt;24,T100,T100+$T$30)</f>
        <v>4800</v>
      </c>
    </row>
    <row r="101" spans="2:22" ht="18.75" customHeight="1" thickBot="1" x14ac:dyDescent="0.3">
      <c r="B101" s="440" t="s">
        <v>389</v>
      </c>
      <c r="C101" s="187"/>
      <c r="D101" s="188" t="s">
        <v>390</v>
      </c>
      <c r="E101" s="189"/>
      <c r="F101" s="224" t="e">
        <f>LOOKUP(F99,S97:S100,U97:U100)</f>
        <v>#N/A</v>
      </c>
      <c r="G101" s="210" t="s">
        <v>19</v>
      </c>
      <c r="H101" s="220"/>
      <c r="I101" s="431" t="e">
        <f>IF(U105&lt;=0.75,$S$58,IF(U105&lt;=0.9,$S$59,IF(U105&lt;1,$S$60,IF(U105&gt;=1,$S$61))))</f>
        <v>#N/A</v>
      </c>
      <c r="J101" s="431"/>
      <c r="K101" s="431"/>
      <c r="L101" s="431"/>
      <c r="M101" s="221"/>
      <c r="N101" s="173"/>
      <c r="O101" s="46"/>
    </row>
    <row r="102" spans="2:22" ht="3.75" customHeight="1" thickBot="1" x14ac:dyDescent="0.35">
      <c r="B102" s="440"/>
      <c r="C102" s="190"/>
      <c r="D102" s="191"/>
      <c r="E102" s="192"/>
      <c r="F102" s="193"/>
      <c r="G102" s="191"/>
      <c r="H102" s="190"/>
      <c r="I102" s="431"/>
      <c r="J102" s="431"/>
      <c r="K102" s="431"/>
      <c r="L102" s="431"/>
      <c r="M102" s="221"/>
      <c r="N102" s="173"/>
      <c r="O102" s="39"/>
      <c r="S102" s="7">
        <f>IF($F$26&lt;301,2500,IF($F$26&lt;801,4800,IF($F$26&lt;2001,7400,IF($F$26&gt;2000,$S$11))))</f>
        <v>2500</v>
      </c>
      <c r="T102" s="7">
        <f>IF($F$26&lt;301,3600,IF($F$26&lt;801,5400,IF($F$26&lt;2001,8400,IF($F$26&gt;2000,$S$11))))</f>
        <v>3600</v>
      </c>
    </row>
    <row r="103" spans="2:22" ht="18.75" customHeight="1" thickBot="1" x14ac:dyDescent="0.35">
      <c r="B103" s="440"/>
      <c r="C103" s="190"/>
      <c r="D103" s="194" t="s">
        <v>391</v>
      </c>
      <c r="E103" s="195"/>
      <c r="F103" s="225" t="e">
        <f>(F101*$F$56/$F$54)</f>
        <v>#N/A</v>
      </c>
      <c r="G103" s="211" t="s">
        <v>16</v>
      </c>
      <c r="H103" s="190"/>
      <c r="I103" s="431"/>
      <c r="J103" s="431"/>
      <c r="K103" s="431"/>
      <c r="L103" s="431"/>
      <c r="M103" s="221"/>
      <c r="N103" s="173"/>
      <c r="O103" s="39"/>
    </row>
    <row r="104" spans="2:22" ht="3.75" customHeight="1" thickBot="1" x14ac:dyDescent="0.35">
      <c r="B104" s="440"/>
      <c r="C104" s="196"/>
      <c r="D104" s="197"/>
      <c r="E104" s="192"/>
      <c r="F104" s="193"/>
      <c r="G104" s="212"/>
      <c r="H104" s="196"/>
      <c r="I104" s="431"/>
      <c r="J104" s="431"/>
      <c r="K104" s="431"/>
      <c r="L104" s="431"/>
      <c r="M104" s="221"/>
      <c r="N104" s="173"/>
      <c r="O104" s="94"/>
    </row>
    <row r="105" spans="2:22" ht="18.75" customHeight="1" thickBot="1" x14ac:dyDescent="0.35">
      <c r="B105" s="440"/>
      <c r="C105" s="196"/>
      <c r="D105" s="197" t="s">
        <v>392</v>
      </c>
      <c r="E105" s="192"/>
      <c r="F105" s="225" t="e">
        <f>(F101*$F$46/$F$54)</f>
        <v>#N/A</v>
      </c>
      <c r="G105" s="213" t="s">
        <v>19</v>
      </c>
      <c r="H105" s="196"/>
      <c r="I105" s="431"/>
      <c r="J105" s="431"/>
      <c r="K105" s="431"/>
      <c r="L105" s="431"/>
      <c r="M105" s="221"/>
      <c r="N105" s="173"/>
      <c r="O105" s="94"/>
      <c r="S105" s="206" t="s">
        <v>394</v>
      </c>
      <c r="T105" s="207"/>
      <c r="U105" s="208" t="e">
        <f>F105/$F$42</f>
        <v>#N/A</v>
      </c>
    </row>
    <row r="106" spans="2:22" ht="19.2" customHeight="1" thickBot="1" x14ac:dyDescent="0.3">
      <c r="B106" s="1"/>
      <c r="C106" s="11"/>
      <c r="D106" s="95"/>
      <c r="E106" s="94"/>
      <c r="F106" s="96"/>
      <c r="G106" s="97"/>
      <c r="H106" s="84"/>
      <c r="I106" s="84"/>
      <c r="J106" s="84"/>
      <c r="K106" s="84"/>
      <c r="L106" s="181"/>
      <c r="M106" s="180"/>
      <c r="N106" s="173"/>
      <c r="O106" s="84"/>
    </row>
    <row r="107" spans="2:22" ht="18.75" customHeight="1" thickBot="1" x14ac:dyDescent="0.3">
      <c r="B107" s="440" t="s">
        <v>393</v>
      </c>
      <c r="C107" s="198"/>
      <c r="D107" s="199" t="s">
        <v>390</v>
      </c>
      <c r="E107" s="196"/>
      <c r="F107" s="226">
        <v>10000</v>
      </c>
      <c r="G107" s="214" t="s">
        <v>19</v>
      </c>
      <c r="H107" s="220"/>
      <c r="I107" s="431" t="e">
        <f>IF(U111&lt;=0.75,$S$58,IF(U111&lt;=0.9,$S$59,IF(U111&lt;1,$S$60,IF(U111&gt;=1,$S$61))))</f>
        <v>#N/A</v>
      </c>
      <c r="J107" s="431"/>
      <c r="K107" s="431"/>
      <c r="L107" s="431"/>
      <c r="M107" s="221"/>
      <c r="N107" s="174"/>
      <c r="O107" s="84"/>
    </row>
    <row r="108" spans="2:22" ht="3.75" customHeight="1" thickBot="1" x14ac:dyDescent="0.3">
      <c r="B108" s="440"/>
      <c r="C108" s="198"/>
      <c r="D108" s="188"/>
      <c r="E108" s="201"/>
      <c r="F108" s="202"/>
      <c r="G108" s="215"/>
      <c r="H108" s="220"/>
      <c r="I108" s="431"/>
      <c r="J108" s="431"/>
      <c r="K108" s="431"/>
      <c r="L108" s="431"/>
      <c r="M108" s="221"/>
      <c r="N108" s="174"/>
      <c r="O108" s="84"/>
    </row>
    <row r="109" spans="2:22" ht="18.75" customHeight="1" thickBot="1" x14ac:dyDescent="0.35">
      <c r="B109" s="440"/>
      <c r="C109" s="198"/>
      <c r="D109" s="188" t="s">
        <v>391</v>
      </c>
      <c r="E109" s="198"/>
      <c r="F109" s="225" t="e">
        <f>(F107*$F$56/$F$54)</f>
        <v>#N/A</v>
      </c>
      <c r="G109" s="210" t="s">
        <v>16</v>
      </c>
      <c r="H109" s="222"/>
      <c r="I109" s="431"/>
      <c r="J109" s="431"/>
      <c r="K109" s="431"/>
      <c r="L109" s="431"/>
      <c r="M109" s="221"/>
      <c r="N109" s="174"/>
      <c r="O109" s="84"/>
    </row>
    <row r="110" spans="2:22" ht="3.75" customHeight="1" thickBot="1" x14ac:dyDescent="0.3">
      <c r="B110" s="440"/>
      <c r="C110" s="201"/>
      <c r="D110" s="203"/>
      <c r="E110" s="198"/>
      <c r="F110" s="204"/>
      <c r="G110" s="216"/>
      <c r="H110" s="223"/>
      <c r="I110" s="431"/>
      <c r="J110" s="431"/>
      <c r="K110" s="431"/>
      <c r="L110" s="431"/>
      <c r="M110" s="221"/>
      <c r="N110" s="175"/>
      <c r="O110" s="84"/>
    </row>
    <row r="111" spans="2:22" ht="18.75" customHeight="1" thickBot="1" x14ac:dyDescent="0.35">
      <c r="B111" s="440"/>
      <c r="C111" s="205"/>
      <c r="D111" s="188" t="s">
        <v>392</v>
      </c>
      <c r="E111" s="198"/>
      <c r="F111" s="225" t="e">
        <f>(F107*$F$46/$F$54)</f>
        <v>#N/A</v>
      </c>
      <c r="G111" s="213" t="s">
        <v>19</v>
      </c>
      <c r="H111" s="223"/>
      <c r="I111" s="431"/>
      <c r="J111" s="431"/>
      <c r="K111" s="431"/>
      <c r="L111" s="431"/>
      <c r="M111" s="221"/>
      <c r="N111" s="175"/>
      <c r="O111" s="84"/>
      <c r="S111" s="206" t="s">
        <v>395</v>
      </c>
      <c r="T111" s="207"/>
      <c r="U111" s="208" t="e">
        <f>F111/$F$42</f>
        <v>#N/A</v>
      </c>
    </row>
    <row r="112" spans="2:22" ht="3.75" customHeight="1" thickBot="1" x14ac:dyDescent="0.3">
      <c r="B112" s="59"/>
      <c r="C112" s="60"/>
      <c r="D112" s="61"/>
      <c r="E112" s="60"/>
      <c r="F112" s="62"/>
      <c r="G112" s="60"/>
      <c r="H112" s="184"/>
      <c r="I112" s="184"/>
      <c r="J112" s="184"/>
      <c r="K112" s="184"/>
      <c r="L112" s="185"/>
      <c r="M112" s="186"/>
      <c r="N112" s="171"/>
      <c r="O112" s="164"/>
    </row>
    <row r="113" spans="1:21" ht="18.75" customHeight="1" thickTop="1" thickBot="1" x14ac:dyDescent="0.3">
      <c r="B113" s="2"/>
      <c r="C113" s="11"/>
      <c r="D113" s="47"/>
      <c r="E113" s="11"/>
      <c r="F113" s="11"/>
      <c r="G113" s="11"/>
      <c r="H113" s="84"/>
      <c r="I113" s="84"/>
      <c r="J113" s="84"/>
      <c r="K113" s="84"/>
      <c r="L113" s="175"/>
      <c r="M113" s="175"/>
      <c r="N113" s="175"/>
      <c r="O113" s="84"/>
      <c r="T113" s="126" t="s">
        <v>380</v>
      </c>
      <c r="U113" s="126" t="s">
        <v>383</v>
      </c>
    </row>
    <row r="114" spans="1:21" ht="36" customHeight="1" thickTop="1" x14ac:dyDescent="0.25">
      <c r="B114" s="477" t="s">
        <v>441</v>
      </c>
      <c r="C114" s="478"/>
      <c r="D114" s="478"/>
      <c r="E114" s="478"/>
      <c r="F114" s="478"/>
      <c r="G114" s="478"/>
      <c r="H114" s="478"/>
      <c r="I114" s="478"/>
      <c r="J114" s="478"/>
      <c r="K114" s="478"/>
      <c r="L114" s="478"/>
      <c r="M114" s="479"/>
      <c r="N114" s="170"/>
      <c r="O114" s="167"/>
      <c r="S114" s="65" t="s">
        <v>364</v>
      </c>
      <c r="T114" s="64">
        <f>IF($F$36&lt;=300,3600,IF($F$36&lt;=800,4800,IF($F$36&lt;=2000,6000,)))</f>
        <v>3600</v>
      </c>
      <c r="U114" s="128">
        <f>+IF($F$11&lt;24,T114,T114+$T$30)</f>
        <v>3600</v>
      </c>
    </row>
    <row r="115" spans="1:21" ht="18.75" customHeight="1" thickBot="1" x14ac:dyDescent="0.35">
      <c r="A115" s="71"/>
      <c r="B115" s="443" t="str">
        <f>IF($F$36&gt;2000,"NOT RECOMMENDED FOR THE GIVEN PRESSURE"," ")</f>
        <v xml:space="preserve"> </v>
      </c>
      <c r="C115" s="444"/>
      <c r="D115" s="444"/>
      <c r="E115" s="444"/>
      <c r="F115" s="444"/>
      <c r="G115" s="444"/>
      <c r="H115" s="444" t="str">
        <f>IF($F$7=$Q$38,"THICKNESS APPLIES TO GYLON EPIX ONLY"," ")</f>
        <v xml:space="preserve"> </v>
      </c>
      <c r="I115" s="444"/>
      <c r="J115" s="444"/>
      <c r="K115" s="444"/>
      <c r="L115" s="444"/>
      <c r="M115" s="449"/>
      <c r="N115" s="171"/>
      <c r="O115" s="164"/>
      <c r="S115" s="81"/>
      <c r="U115" s="128"/>
    </row>
    <row r="116" spans="1:21" ht="18.600000000000001" customHeight="1" thickBot="1" x14ac:dyDescent="0.35">
      <c r="B116" s="1"/>
      <c r="C116" s="2"/>
      <c r="D116" s="17" t="s">
        <v>319</v>
      </c>
      <c r="E116" s="2"/>
      <c r="F116" s="103" t="s">
        <v>379</v>
      </c>
      <c r="G116" s="14" t="s">
        <v>321</v>
      </c>
      <c r="H116" s="38"/>
      <c r="I116" s="445" t="s">
        <v>396</v>
      </c>
      <c r="J116" s="445"/>
      <c r="K116" s="445"/>
      <c r="L116" s="445"/>
      <c r="M116" s="217"/>
      <c r="N116" s="173"/>
      <c r="O116" s="38"/>
      <c r="S116" s="81"/>
      <c r="U116" s="128"/>
    </row>
    <row r="117" spans="1:21" ht="19.2" customHeight="1" thickBot="1" x14ac:dyDescent="0.35">
      <c r="B117" s="50"/>
      <c r="C117" s="227"/>
      <c r="D117" s="14"/>
      <c r="E117" s="2"/>
      <c r="F117" s="57"/>
      <c r="G117" s="14"/>
      <c r="H117" s="227"/>
      <c r="I117" s="227"/>
      <c r="J117" s="227"/>
      <c r="K117" s="46"/>
      <c r="L117" s="181"/>
      <c r="M117" s="180"/>
      <c r="N117" s="173"/>
      <c r="O117" s="46"/>
      <c r="S117" s="81"/>
      <c r="U117" s="128"/>
    </row>
    <row r="118" spans="1:21" ht="18.75" customHeight="1" thickBot="1" x14ac:dyDescent="0.3">
      <c r="B118" s="440" t="s">
        <v>389</v>
      </c>
      <c r="C118" s="187"/>
      <c r="D118" s="188" t="s">
        <v>390</v>
      </c>
      <c r="E118" s="189"/>
      <c r="F118" s="224">
        <f>U114</f>
        <v>3600</v>
      </c>
      <c r="G118" s="210" t="s">
        <v>19</v>
      </c>
      <c r="H118" s="220"/>
      <c r="I118" s="431" t="e">
        <f>IF(U122&lt;=0.75,$S$58,IF(U122&lt;=0.9,$S$59,IF(U122&lt;1,$S$60,IF(U122&gt;=1,$S$61))))</f>
        <v>#N/A</v>
      </c>
      <c r="J118" s="431"/>
      <c r="K118" s="431"/>
      <c r="L118" s="431"/>
      <c r="M118" s="221"/>
      <c r="N118" s="173"/>
      <c r="O118" s="46"/>
    </row>
    <row r="119" spans="1:21" ht="3.75" customHeight="1" thickBot="1" x14ac:dyDescent="0.35">
      <c r="B119" s="440"/>
      <c r="C119" s="190"/>
      <c r="D119" s="191"/>
      <c r="E119" s="192"/>
      <c r="F119" s="193"/>
      <c r="G119" s="191"/>
      <c r="H119" s="190"/>
      <c r="I119" s="431"/>
      <c r="J119" s="431"/>
      <c r="K119" s="431"/>
      <c r="L119" s="431"/>
      <c r="M119" s="221"/>
      <c r="N119" s="173"/>
      <c r="O119" s="39"/>
      <c r="S119" s="7">
        <f>IF($F$26&lt;301,2500,IF($F$26&lt;801,4800,IF($F$26&lt;2001,7400,IF($F$26&gt;2000,$S$11))))</f>
        <v>2500</v>
      </c>
      <c r="T119" s="7">
        <f>IF($F$26&lt;301,3600,IF($F$26&lt;801,5400,IF($F$26&lt;2001,8400,IF($F$26&gt;2000,$S$11))))</f>
        <v>3600</v>
      </c>
    </row>
    <row r="120" spans="1:21" ht="18.75" customHeight="1" thickBot="1" x14ac:dyDescent="0.35">
      <c r="B120" s="440"/>
      <c r="C120" s="190"/>
      <c r="D120" s="194" t="s">
        <v>391</v>
      </c>
      <c r="E120" s="195"/>
      <c r="F120" s="225" t="e">
        <f>(F118*$F$56/$F$54)</f>
        <v>#N/A</v>
      </c>
      <c r="G120" s="211" t="s">
        <v>16</v>
      </c>
      <c r="H120" s="190"/>
      <c r="I120" s="431"/>
      <c r="J120" s="431"/>
      <c r="K120" s="431"/>
      <c r="L120" s="431"/>
      <c r="M120" s="221"/>
      <c r="N120" s="173"/>
      <c r="O120" s="39"/>
    </row>
    <row r="121" spans="1:21" ht="3.75" customHeight="1" thickBot="1" x14ac:dyDescent="0.35">
      <c r="B121" s="440"/>
      <c r="C121" s="196"/>
      <c r="D121" s="197"/>
      <c r="E121" s="192"/>
      <c r="F121" s="193"/>
      <c r="G121" s="212"/>
      <c r="H121" s="196"/>
      <c r="I121" s="431"/>
      <c r="J121" s="431"/>
      <c r="K121" s="431"/>
      <c r="L121" s="431"/>
      <c r="M121" s="221"/>
      <c r="N121" s="173"/>
      <c r="O121" s="94"/>
    </row>
    <row r="122" spans="1:21" ht="18.75" customHeight="1" thickBot="1" x14ac:dyDescent="0.35">
      <c r="B122" s="440"/>
      <c r="C122" s="196"/>
      <c r="D122" s="197" t="s">
        <v>392</v>
      </c>
      <c r="E122" s="192"/>
      <c r="F122" s="225" t="e">
        <f>(F118*$F$46/$F$54)</f>
        <v>#N/A</v>
      </c>
      <c r="G122" s="213" t="s">
        <v>19</v>
      </c>
      <c r="H122" s="196"/>
      <c r="I122" s="431"/>
      <c r="J122" s="431"/>
      <c r="K122" s="431"/>
      <c r="L122" s="431"/>
      <c r="M122" s="221"/>
      <c r="N122" s="173"/>
      <c r="O122" s="94"/>
      <c r="S122" s="206" t="s">
        <v>394</v>
      </c>
      <c r="T122" s="207"/>
      <c r="U122" s="208" t="e">
        <f>F122/$F$42</f>
        <v>#N/A</v>
      </c>
    </row>
    <row r="123" spans="1:21" ht="19.2" customHeight="1" thickBot="1" x14ac:dyDescent="0.3">
      <c r="B123" s="1"/>
      <c r="C123" s="11"/>
      <c r="D123" s="95"/>
      <c r="E123" s="94"/>
      <c r="F123" s="96"/>
      <c r="G123" s="97"/>
      <c r="H123" s="84"/>
      <c r="I123" s="84"/>
      <c r="J123" s="84"/>
      <c r="K123" s="84"/>
      <c r="L123" s="181"/>
      <c r="M123" s="180"/>
      <c r="N123" s="173"/>
      <c r="O123" s="84"/>
    </row>
    <row r="124" spans="1:21" ht="18.75" customHeight="1" thickBot="1" x14ac:dyDescent="0.3">
      <c r="B124" s="440" t="s">
        <v>393</v>
      </c>
      <c r="C124" s="198"/>
      <c r="D124" s="199" t="s">
        <v>390</v>
      </c>
      <c r="E124" s="196"/>
      <c r="F124" s="226">
        <v>20000</v>
      </c>
      <c r="G124" s="214" t="s">
        <v>19</v>
      </c>
      <c r="H124" s="220"/>
      <c r="I124" s="431" t="e">
        <f>IF(U128&lt;=0.75,$S$58,IF(U128&lt;=0.9,$S$59,IF(U128&lt;1,$S$60,IF(U128&gt;=1,$S$61))))</f>
        <v>#N/A</v>
      </c>
      <c r="J124" s="431"/>
      <c r="K124" s="431"/>
      <c r="L124" s="431"/>
      <c r="M124" s="221"/>
      <c r="N124" s="174"/>
      <c r="O124" s="84"/>
    </row>
    <row r="125" spans="1:21" ht="3.75" customHeight="1" thickBot="1" x14ac:dyDescent="0.3">
      <c r="B125" s="440"/>
      <c r="C125" s="198"/>
      <c r="D125" s="188"/>
      <c r="E125" s="201"/>
      <c r="F125" s="202"/>
      <c r="G125" s="215"/>
      <c r="H125" s="220"/>
      <c r="I125" s="431"/>
      <c r="J125" s="431"/>
      <c r="K125" s="431"/>
      <c r="L125" s="431"/>
      <c r="M125" s="221"/>
      <c r="N125" s="174"/>
      <c r="O125" s="84"/>
    </row>
    <row r="126" spans="1:21" ht="18.75" customHeight="1" thickBot="1" x14ac:dyDescent="0.35">
      <c r="B126" s="440"/>
      <c r="C126" s="198"/>
      <c r="D126" s="188" t="s">
        <v>391</v>
      </c>
      <c r="E126" s="198"/>
      <c r="F126" s="225" t="e">
        <f>(F124*$F$56/$F$54)</f>
        <v>#N/A</v>
      </c>
      <c r="G126" s="210" t="s">
        <v>16</v>
      </c>
      <c r="H126" s="222"/>
      <c r="I126" s="431"/>
      <c r="J126" s="431"/>
      <c r="K126" s="431"/>
      <c r="L126" s="431"/>
      <c r="M126" s="221"/>
      <c r="N126" s="174"/>
      <c r="O126" s="84"/>
    </row>
    <row r="127" spans="1:21" ht="3.75" customHeight="1" thickBot="1" x14ac:dyDescent="0.3">
      <c r="B127" s="440"/>
      <c r="C127" s="201"/>
      <c r="D127" s="203"/>
      <c r="E127" s="198"/>
      <c r="F127" s="204"/>
      <c r="G127" s="216"/>
      <c r="H127" s="223"/>
      <c r="I127" s="431"/>
      <c r="J127" s="431"/>
      <c r="K127" s="431"/>
      <c r="L127" s="431"/>
      <c r="M127" s="221"/>
      <c r="N127" s="175"/>
      <c r="O127" s="84"/>
    </row>
    <row r="128" spans="1:21" ht="18.75" customHeight="1" thickBot="1" x14ac:dyDescent="0.35">
      <c r="B128" s="440"/>
      <c r="C128" s="205"/>
      <c r="D128" s="188" t="s">
        <v>392</v>
      </c>
      <c r="E128" s="198"/>
      <c r="F128" s="225" t="e">
        <f>(F124*$F$46/$F$54)</f>
        <v>#N/A</v>
      </c>
      <c r="G128" s="213" t="s">
        <v>19</v>
      </c>
      <c r="H128" s="223"/>
      <c r="I128" s="431"/>
      <c r="J128" s="431"/>
      <c r="K128" s="431"/>
      <c r="L128" s="431"/>
      <c r="M128" s="221"/>
      <c r="N128" s="175"/>
      <c r="O128" s="84"/>
      <c r="S128" s="206" t="s">
        <v>395</v>
      </c>
      <c r="T128" s="209"/>
      <c r="U128" s="208" t="e">
        <f>F128/$F$42</f>
        <v>#N/A</v>
      </c>
    </row>
    <row r="129" spans="2:21" ht="3.75" customHeight="1" thickBot="1" x14ac:dyDescent="0.3">
      <c r="B129" s="59"/>
      <c r="C129" s="60"/>
      <c r="D129" s="61"/>
      <c r="E129" s="60"/>
      <c r="F129" s="62"/>
      <c r="G129" s="60"/>
      <c r="H129" s="184"/>
      <c r="I129" s="184"/>
      <c r="J129" s="184"/>
      <c r="K129" s="184"/>
      <c r="L129" s="185"/>
      <c r="M129" s="186"/>
      <c r="N129" s="171"/>
      <c r="O129" s="164"/>
    </row>
    <row r="130" spans="2:21" ht="18.75" customHeight="1" thickTop="1" thickBot="1" x14ac:dyDescent="0.3">
      <c r="B130" s="160"/>
      <c r="C130" s="161"/>
      <c r="D130" s="162"/>
      <c r="E130" s="161"/>
      <c r="F130" s="163"/>
      <c r="G130" s="161"/>
      <c r="H130" s="164"/>
      <c r="I130" s="164"/>
      <c r="J130" s="164"/>
      <c r="K130" s="164"/>
      <c r="L130" s="171"/>
      <c r="M130" s="171"/>
      <c r="N130" s="171"/>
      <c r="O130" s="164"/>
      <c r="T130" s="286" t="s">
        <v>381</v>
      </c>
      <c r="U130" s="142"/>
    </row>
    <row r="131" spans="2:21" ht="36" customHeight="1" thickTop="1" x14ac:dyDescent="0.25">
      <c r="B131" s="477" t="s">
        <v>404</v>
      </c>
      <c r="C131" s="478"/>
      <c r="D131" s="478"/>
      <c r="E131" s="478"/>
      <c r="F131" s="478"/>
      <c r="G131" s="478"/>
      <c r="H131" s="478"/>
      <c r="I131" s="478"/>
      <c r="J131" s="478"/>
      <c r="K131" s="478"/>
      <c r="L131" s="478"/>
      <c r="M131" s="479"/>
      <c r="N131" s="177"/>
      <c r="O131" s="168"/>
      <c r="S131" s="165" t="s">
        <v>382</v>
      </c>
      <c r="T131" s="64">
        <f>IF($F$36&lt;=300,4000,IF($F$36&lt;=800,6000,IF($F$36&lt;=2000,10000,IF($F$36&gt;2000,15000))))</f>
        <v>4000</v>
      </c>
      <c r="U131" s="143"/>
    </row>
    <row r="132" spans="2:21" ht="18.75" customHeight="1" thickBot="1" x14ac:dyDescent="0.3">
      <c r="B132" s="50"/>
      <c r="C132" s="43"/>
      <c r="D132" s="43"/>
      <c r="E132" s="43"/>
      <c r="F132" s="43"/>
      <c r="G132" s="43"/>
      <c r="H132" s="444" t="str">
        <f>IF($F$7=$Q$38,"THICKNESS APPLIES TO GYLON EPIX ONLY"," ")</f>
        <v xml:space="preserve"> </v>
      </c>
      <c r="I132" s="444"/>
      <c r="J132" s="444"/>
      <c r="K132" s="444"/>
      <c r="L132" s="444"/>
      <c r="M132" s="449"/>
      <c r="N132" s="171"/>
      <c r="O132" s="164"/>
      <c r="S132" s="81"/>
      <c r="U132" s="128"/>
    </row>
    <row r="133" spans="2:21" ht="18.75" customHeight="1" thickBot="1" x14ac:dyDescent="0.35">
      <c r="B133" s="1"/>
      <c r="C133" s="2"/>
      <c r="D133" s="17" t="s">
        <v>319</v>
      </c>
      <c r="E133" s="2"/>
      <c r="F133" s="103" t="s">
        <v>323</v>
      </c>
      <c r="G133" s="14" t="s">
        <v>321</v>
      </c>
      <c r="H133" s="38"/>
      <c r="I133" s="445" t="s">
        <v>396</v>
      </c>
      <c r="J133" s="445"/>
      <c r="K133" s="445"/>
      <c r="L133" s="445"/>
      <c r="M133" s="217"/>
      <c r="N133" s="172"/>
      <c r="O133" s="38"/>
      <c r="S133" s="81"/>
      <c r="U133" s="128"/>
    </row>
    <row r="134" spans="2:21" ht="19.2" customHeight="1" thickBot="1" x14ac:dyDescent="0.35">
      <c r="B134" s="50"/>
      <c r="C134" s="227"/>
      <c r="D134" s="14"/>
      <c r="E134" s="2"/>
      <c r="F134" s="57"/>
      <c r="G134" s="14"/>
      <c r="H134" s="227"/>
      <c r="I134" s="227"/>
      <c r="J134" s="227"/>
      <c r="K134" s="46"/>
      <c r="L134" s="172"/>
      <c r="M134" s="217"/>
      <c r="N134" s="172"/>
      <c r="O134" s="46"/>
      <c r="S134" s="81"/>
      <c r="U134" s="128"/>
    </row>
    <row r="135" spans="2:21" ht="18.75" customHeight="1" thickBot="1" x14ac:dyDescent="0.3">
      <c r="B135" s="440" t="s">
        <v>389</v>
      </c>
      <c r="C135" s="187"/>
      <c r="D135" s="188" t="s">
        <v>390</v>
      </c>
      <c r="E135" s="189"/>
      <c r="F135" s="224">
        <f>T131</f>
        <v>4000</v>
      </c>
      <c r="G135" s="210" t="s">
        <v>19</v>
      </c>
      <c r="H135" s="220"/>
      <c r="I135" s="431" t="e">
        <f>IF(U139&lt;=0.75,$S$58,IF(U139&lt;=0.9,$S$59,IF(U139&lt;1,$S$60,IF(U139&gt;=1,$S$61))))</f>
        <v>#N/A</v>
      </c>
      <c r="J135" s="431"/>
      <c r="K135" s="431"/>
      <c r="L135" s="431"/>
      <c r="M135" s="221"/>
      <c r="N135" s="173"/>
      <c r="O135" s="46"/>
    </row>
    <row r="136" spans="2:21" ht="3.6" customHeight="1" thickBot="1" x14ac:dyDescent="0.35">
      <c r="B136" s="440"/>
      <c r="C136" s="190"/>
      <c r="D136" s="191"/>
      <c r="E136" s="192"/>
      <c r="F136" s="193"/>
      <c r="G136" s="191"/>
      <c r="H136" s="190"/>
      <c r="I136" s="431"/>
      <c r="J136" s="431"/>
      <c r="K136" s="431"/>
      <c r="L136" s="431"/>
      <c r="M136" s="221"/>
      <c r="N136" s="173"/>
      <c r="O136" s="39"/>
      <c r="S136" s="7">
        <f>IF($F$26&lt;301,2500,IF($F$26&lt;801,4800,IF($F$26&lt;2001,7400,IF($F$26&gt;2000,$S$11))))</f>
        <v>2500</v>
      </c>
      <c r="T136" s="7">
        <f>IF($F$26&lt;301,3600,IF($F$26&lt;801,5400,IF($F$26&lt;2001,8400,IF($F$26&gt;2000,$S$11))))</f>
        <v>3600</v>
      </c>
    </row>
    <row r="137" spans="2:21" ht="18.75" customHeight="1" thickBot="1" x14ac:dyDescent="0.35">
      <c r="B137" s="440"/>
      <c r="C137" s="190"/>
      <c r="D137" s="194" t="s">
        <v>391</v>
      </c>
      <c r="E137" s="195"/>
      <c r="F137" s="225" t="e">
        <f>(F135*$F$56/$F$54)</f>
        <v>#N/A</v>
      </c>
      <c r="G137" s="211" t="s">
        <v>16</v>
      </c>
      <c r="H137" s="190"/>
      <c r="I137" s="431"/>
      <c r="J137" s="431"/>
      <c r="K137" s="431"/>
      <c r="L137" s="431"/>
      <c r="M137" s="221"/>
      <c r="N137" s="173"/>
      <c r="O137" s="39"/>
    </row>
    <row r="138" spans="2:21" ht="3.6" customHeight="1" thickBot="1" x14ac:dyDescent="0.35">
      <c r="B138" s="440"/>
      <c r="C138" s="196"/>
      <c r="D138" s="197"/>
      <c r="E138" s="192"/>
      <c r="F138" s="193"/>
      <c r="G138" s="212"/>
      <c r="H138" s="196"/>
      <c r="I138" s="431"/>
      <c r="J138" s="431"/>
      <c r="K138" s="431"/>
      <c r="L138" s="431"/>
      <c r="M138" s="221"/>
      <c r="N138" s="173"/>
      <c r="O138" s="94"/>
    </row>
    <row r="139" spans="2:21" ht="18.75" customHeight="1" thickBot="1" x14ac:dyDescent="0.35">
      <c r="B139" s="440"/>
      <c r="C139" s="196"/>
      <c r="D139" s="197" t="s">
        <v>392</v>
      </c>
      <c r="E139" s="192"/>
      <c r="F139" s="225" t="e">
        <f>(F135*$F$46/$F$54)</f>
        <v>#N/A</v>
      </c>
      <c r="G139" s="213" t="s">
        <v>19</v>
      </c>
      <c r="H139" s="196"/>
      <c r="I139" s="431"/>
      <c r="J139" s="431"/>
      <c r="K139" s="431"/>
      <c r="L139" s="431"/>
      <c r="M139" s="221"/>
      <c r="N139" s="173"/>
      <c r="O139" s="94"/>
      <c r="S139" s="206" t="s">
        <v>394</v>
      </c>
      <c r="T139" s="207"/>
      <c r="U139" s="208" t="e">
        <f>F139/$F$42</f>
        <v>#N/A</v>
      </c>
    </row>
    <row r="140" spans="2:21" ht="18.75" customHeight="1" thickBot="1" x14ac:dyDescent="0.3">
      <c r="B140" s="1"/>
      <c r="C140" s="11"/>
      <c r="D140" s="95"/>
      <c r="E140" s="94"/>
      <c r="F140" s="96"/>
      <c r="G140" s="97"/>
      <c r="H140" s="84"/>
      <c r="I140" s="84"/>
      <c r="J140" s="84"/>
      <c r="K140" s="84"/>
      <c r="L140" s="181"/>
      <c r="M140" s="180"/>
      <c r="N140" s="173"/>
      <c r="O140" s="84"/>
    </row>
    <row r="141" spans="2:21" ht="18.75" customHeight="1" thickBot="1" x14ac:dyDescent="0.3">
      <c r="B141" s="440" t="s">
        <v>393</v>
      </c>
      <c r="C141" s="198"/>
      <c r="D141" s="199" t="s">
        <v>390</v>
      </c>
      <c r="E141" s="196"/>
      <c r="F141" s="226">
        <v>40000</v>
      </c>
      <c r="G141" s="214" t="s">
        <v>19</v>
      </c>
      <c r="H141" s="220"/>
      <c r="I141" s="431" t="e">
        <f>IF(U145&lt;=0.75,$S$58,IF(U145&lt;=0.9,$S$59,IF(U145&lt;1,$S$60,IF(U145&gt;=1,$S$61))))</f>
        <v>#N/A</v>
      </c>
      <c r="J141" s="431"/>
      <c r="K141" s="431"/>
      <c r="L141" s="431"/>
      <c r="M141" s="221"/>
      <c r="N141" s="174"/>
      <c r="O141" s="84"/>
    </row>
    <row r="142" spans="2:21" ht="3.6" customHeight="1" thickBot="1" x14ac:dyDescent="0.3">
      <c r="B142" s="440"/>
      <c r="C142" s="198"/>
      <c r="D142" s="188"/>
      <c r="E142" s="201"/>
      <c r="F142" s="202"/>
      <c r="G142" s="215"/>
      <c r="H142" s="220"/>
      <c r="I142" s="431"/>
      <c r="J142" s="431"/>
      <c r="K142" s="431"/>
      <c r="L142" s="431"/>
      <c r="M142" s="221"/>
      <c r="N142" s="174"/>
      <c r="O142" s="84"/>
    </row>
    <row r="143" spans="2:21" ht="18.75" customHeight="1" thickBot="1" x14ac:dyDescent="0.35">
      <c r="B143" s="440"/>
      <c r="C143" s="198"/>
      <c r="D143" s="188" t="s">
        <v>391</v>
      </c>
      <c r="E143" s="198"/>
      <c r="F143" s="225" t="e">
        <f>(F141*$F$56/$F$54)</f>
        <v>#N/A</v>
      </c>
      <c r="G143" s="210" t="s">
        <v>16</v>
      </c>
      <c r="H143" s="222"/>
      <c r="I143" s="431"/>
      <c r="J143" s="431"/>
      <c r="K143" s="431"/>
      <c r="L143" s="431"/>
      <c r="M143" s="221"/>
      <c r="N143" s="174"/>
      <c r="O143" s="84"/>
    </row>
    <row r="144" spans="2:21" ht="3.6" customHeight="1" thickBot="1" x14ac:dyDescent="0.3">
      <c r="B144" s="440"/>
      <c r="C144" s="201"/>
      <c r="D144" s="203"/>
      <c r="E144" s="198"/>
      <c r="F144" s="204"/>
      <c r="G144" s="216"/>
      <c r="H144" s="223"/>
      <c r="I144" s="431"/>
      <c r="J144" s="431"/>
      <c r="K144" s="431"/>
      <c r="L144" s="431"/>
      <c r="M144" s="221"/>
      <c r="N144" s="175"/>
      <c r="O144" s="84"/>
    </row>
    <row r="145" spans="2:25" ht="18.75" customHeight="1" thickBot="1" x14ac:dyDescent="0.35">
      <c r="B145" s="440"/>
      <c r="C145" s="205"/>
      <c r="D145" s="188" t="s">
        <v>392</v>
      </c>
      <c r="E145" s="198"/>
      <c r="F145" s="225" t="e">
        <f>(F141*$F$46/$F$54)</f>
        <v>#N/A</v>
      </c>
      <c r="G145" s="213" t="s">
        <v>19</v>
      </c>
      <c r="H145" s="223"/>
      <c r="I145" s="431"/>
      <c r="J145" s="431"/>
      <c r="K145" s="431"/>
      <c r="L145" s="431"/>
      <c r="M145" s="221"/>
      <c r="N145" s="175"/>
      <c r="O145" s="84"/>
      <c r="S145" s="206" t="s">
        <v>395</v>
      </c>
      <c r="T145" s="207"/>
      <c r="U145" s="208" t="e">
        <f>F145/$F$42</f>
        <v>#N/A</v>
      </c>
    </row>
    <row r="146" spans="2:25" ht="3.6" customHeight="1" thickBot="1" x14ac:dyDescent="0.3">
      <c r="B146" s="59"/>
      <c r="C146" s="60"/>
      <c r="D146" s="61"/>
      <c r="E146" s="60"/>
      <c r="F146" s="62"/>
      <c r="G146" s="60"/>
      <c r="H146" s="184"/>
      <c r="I146" s="184"/>
      <c r="J146" s="184"/>
      <c r="K146" s="184"/>
      <c r="L146" s="185"/>
      <c r="M146" s="186"/>
      <c r="N146" s="171"/>
      <c r="O146" s="164"/>
    </row>
    <row r="147" spans="2:25" ht="18.75" customHeight="1" thickTop="1" thickBot="1" x14ac:dyDescent="0.3">
      <c r="B147" s="38"/>
      <c r="C147" s="43"/>
      <c r="D147" s="20"/>
      <c r="E147" s="43"/>
      <c r="F147" s="80"/>
      <c r="G147" s="43"/>
      <c r="H147" s="164"/>
      <c r="I147" s="164"/>
      <c r="J147" s="164"/>
      <c r="K147" s="164"/>
      <c r="L147" s="171"/>
      <c r="M147" s="171"/>
      <c r="N147" s="171"/>
      <c r="O147" s="164"/>
    </row>
    <row r="148" spans="2:25" ht="36" customHeight="1" thickTop="1" x14ac:dyDescent="0.25">
      <c r="B148" s="477" t="s">
        <v>405</v>
      </c>
      <c r="C148" s="478"/>
      <c r="D148" s="478"/>
      <c r="E148" s="478"/>
      <c r="F148" s="478"/>
      <c r="G148" s="478"/>
      <c r="H148" s="478"/>
      <c r="I148" s="478"/>
      <c r="J148" s="478"/>
      <c r="K148" s="478"/>
      <c r="L148" s="478"/>
      <c r="M148" s="479"/>
      <c r="N148" s="177"/>
      <c r="O148" s="168"/>
      <c r="S148" s="81"/>
      <c r="T148" s="2"/>
      <c r="U148" s="143"/>
    </row>
    <row r="149" spans="2:25" ht="18.75" customHeight="1" x14ac:dyDescent="0.25">
      <c r="B149" s="470" t="s">
        <v>419</v>
      </c>
      <c r="C149" s="471"/>
      <c r="D149" s="471"/>
      <c r="E149" s="471"/>
      <c r="F149" s="471"/>
      <c r="G149" s="471"/>
      <c r="H149" s="471"/>
      <c r="I149" s="471"/>
      <c r="J149" s="471"/>
      <c r="K149" s="471"/>
      <c r="L149" s="471"/>
      <c r="M149" s="472"/>
      <c r="N149" s="171"/>
      <c r="O149" s="164"/>
      <c r="S149" s="81"/>
      <c r="T149" s="2"/>
      <c r="U149" s="143"/>
    </row>
    <row r="150" spans="2:25" ht="18.75" customHeight="1" x14ac:dyDescent="0.25">
      <c r="B150" s="470"/>
      <c r="C150" s="471"/>
      <c r="D150" s="471"/>
      <c r="E150" s="471"/>
      <c r="F150" s="471"/>
      <c r="G150" s="471"/>
      <c r="H150" s="471"/>
      <c r="I150" s="471"/>
      <c r="J150" s="471"/>
      <c r="K150" s="471"/>
      <c r="L150" s="471"/>
      <c r="M150" s="472"/>
      <c r="N150" s="172"/>
      <c r="O150" s="38"/>
      <c r="S150" s="81"/>
      <c r="T150" s="2"/>
      <c r="U150" s="143"/>
    </row>
    <row r="151" spans="2:25" ht="18.75" customHeight="1" x14ac:dyDescent="0.25">
      <c r="B151" s="470"/>
      <c r="C151" s="471"/>
      <c r="D151" s="471"/>
      <c r="E151" s="471"/>
      <c r="F151" s="471"/>
      <c r="G151" s="471"/>
      <c r="H151" s="471"/>
      <c r="I151" s="471"/>
      <c r="J151" s="471"/>
      <c r="K151" s="471"/>
      <c r="L151" s="471"/>
      <c r="M151" s="472"/>
      <c r="N151" s="172"/>
      <c r="O151" s="46"/>
      <c r="S151" s="81"/>
      <c r="T151" s="2"/>
      <c r="U151" s="143"/>
    </row>
    <row r="152" spans="2:25" ht="18.75" customHeight="1" thickBot="1" x14ac:dyDescent="0.3">
      <c r="B152" s="59"/>
      <c r="C152" s="60"/>
      <c r="D152" s="61"/>
      <c r="E152" s="60"/>
      <c r="F152" s="62"/>
      <c r="G152" s="60"/>
      <c r="H152" s="184"/>
      <c r="I152" s="184"/>
      <c r="J152" s="184"/>
      <c r="K152" s="184"/>
      <c r="L152" s="185"/>
      <c r="M152" s="186"/>
      <c r="N152" s="171"/>
      <c r="O152" s="164"/>
    </row>
    <row r="153" spans="2:25" ht="18.75" customHeight="1" thickTop="1" thickBot="1" x14ac:dyDescent="0.3">
      <c r="D153" s="49"/>
      <c r="E153" s="236"/>
      <c r="H153" s="84"/>
      <c r="I153" s="236"/>
      <c r="J153" s="236"/>
      <c r="K153" s="236"/>
      <c r="L153" s="178"/>
      <c r="M153" s="178"/>
      <c r="N153" s="178"/>
      <c r="O153" s="236"/>
      <c r="T153" s="126" t="s">
        <v>383</v>
      </c>
      <c r="U153" s="126" t="s">
        <v>385</v>
      </c>
    </row>
    <row r="154" spans="2:25" ht="36" customHeight="1" thickTop="1" x14ac:dyDescent="0.25">
      <c r="B154" s="441" t="s">
        <v>406</v>
      </c>
      <c r="C154" s="442"/>
      <c r="D154" s="442"/>
      <c r="E154" s="442"/>
      <c r="F154" s="442"/>
      <c r="G154" s="442"/>
      <c r="H154" s="446" t="s">
        <v>401</v>
      </c>
      <c r="I154" s="446"/>
      <c r="J154" s="446"/>
      <c r="K154" s="446"/>
      <c r="L154" s="446"/>
      <c r="M154" s="447"/>
      <c r="N154" s="170"/>
      <c r="O154" s="167"/>
      <c r="S154" s="165" t="s">
        <v>384</v>
      </c>
      <c r="T154" s="131">
        <f>IF($F$11&lt;24,600,IF($F$11&gt;=24,600+$T$30))</f>
        <v>600</v>
      </c>
      <c r="U154" s="131">
        <f>IF(T154&lt;900,T154,900)</f>
        <v>600</v>
      </c>
    </row>
    <row r="155" spans="2:25" ht="18.75" customHeight="1" thickBot="1" x14ac:dyDescent="0.35">
      <c r="B155" s="443" t="str">
        <f>IF($F$36&lt;=150," ",IF($F$36&lt;=250,"PRESSURE IS ABOVE 150 PSIG - CONTACT APPLICATIONS ENGINEERING",IF($F$36&gt;250,"NOT RECOMMENDED FOR THE GIVEN PRESSURE")))</f>
        <v xml:space="preserve"> </v>
      </c>
      <c r="C155" s="444"/>
      <c r="D155" s="444"/>
      <c r="E155" s="444"/>
      <c r="F155" s="444"/>
      <c r="G155" s="444"/>
      <c r="H155" s="444" t="str">
        <f>IF($F$7=$Q$38,"THICKNESS APPLIES TO GYLON EPIX ONLY"," ")</f>
        <v xml:space="preserve"> </v>
      </c>
      <c r="I155" s="444"/>
      <c r="J155" s="444"/>
      <c r="K155" s="444"/>
      <c r="L155" s="444"/>
      <c r="M155" s="449"/>
      <c r="N155" s="174"/>
      <c r="O155" s="169"/>
      <c r="P155" s="71"/>
      <c r="Q155" s="71"/>
      <c r="R155" s="71"/>
      <c r="S155" s="81"/>
      <c r="T155" s="2"/>
      <c r="U155" s="143"/>
      <c r="V155" s="71"/>
      <c r="W155" s="71"/>
      <c r="X155" s="71"/>
      <c r="Y155" s="71"/>
    </row>
    <row r="156" spans="2:25" ht="18.75" customHeight="1" thickBot="1" x14ac:dyDescent="0.3">
      <c r="B156" s="58"/>
      <c r="C156" s="42"/>
      <c r="D156" s="15" t="s">
        <v>324</v>
      </c>
      <c r="E156" s="42"/>
      <c r="F156" s="231">
        <f>($F$36)</f>
        <v>0</v>
      </c>
      <c r="G156" s="13" t="s">
        <v>290</v>
      </c>
      <c r="H156" s="84"/>
      <c r="I156" s="84"/>
      <c r="J156" s="84"/>
      <c r="K156" s="84"/>
      <c r="L156" s="182"/>
      <c r="M156" s="183"/>
      <c r="N156" s="174"/>
      <c r="O156" s="236"/>
      <c r="S156" s="81"/>
      <c r="T156" s="2"/>
      <c r="U156" s="143"/>
      <c r="W156" s="7" t="s">
        <v>325</v>
      </c>
    </row>
    <row r="157" spans="2:25" ht="3" customHeight="1" thickBot="1" x14ac:dyDescent="0.3">
      <c r="B157" s="50"/>
      <c r="C157" s="43"/>
      <c r="D157" s="43"/>
      <c r="E157" s="43"/>
      <c r="F157" s="43"/>
      <c r="G157" s="43"/>
      <c r="H157" s="164"/>
      <c r="I157" s="164"/>
      <c r="J157" s="164"/>
      <c r="K157" s="164"/>
      <c r="L157" s="171"/>
      <c r="M157" s="179"/>
      <c r="N157" s="171"/>
      <c r="O157" s="164"/>
      <c r="S157" s="81"/>
      <c r="T157" s="2"/>
      <c r="U157" s="143"/>
    </row>
    <row r="158" spans="2:25" ht="18.75" customHeight="1" thickBot="1" x14ac:dyDescent="0.35">
      <c r="B158" s="1"/>
      <c r="C158" s="2"/>
      <c r="D158" s="17" t="s">
        <v>319</v>
      </c>
      <c r="E158" s="2"/>
      <c r="F158" s="228">
        <f>($F$7)</f>
        <v>0</v>
      </c>
      <c r="G158" s="14" t="s">
        <v>321</v>
      </c>
      <c r="H158" s="38"/>
      <c r="I158" s="445" t="s">
        <v>396</v>
      </c>
      <c r="J158" s="445"/>
      <c r="K158" s="445"/>
      <c r="L158" s="445"/>
      <c r="M158" s="217"/>
      <c r="N158" s="173"/>
      <c r="O158" s="38"/>
    </row>
    <row r="159" spans="2:25" ht="19.2" customHeight="1" thickBot="1" x14ac:dyDescent="0.35">
      <c r="B159" s="50"/>
      <c r="C159" s="227"/>
      <c r="D159" s="14"/>
      <c r="E159" s="2"/>
      <c r="F159" s="57"/>
      <c r="G159" s="14"/>
      <c r="H159" s="227"/>
      <c r="I159" s="227"/>
      <c r="J159" s="227"/>
      <c r="K159" s="46"/>
      <c r="L159" s="181"/>
      <c r="M159" s="180"/>
      <c r="N159" s="173"/>
      <c r="O159" s="46"/>
    </row>
    <row r="160" spans="2:25" ht="18.75" customHeight="1" thickBot="1" x14ac:dyDescent="0.3">
      <c r="B160" s="440" t="s">
        <v>389</v>
      </c>
      <c r="C160" s="187"/>
      <c r="D160" s="188" t="s">
        <v>390</v>
      </c>
      <c r="E160" s="189"/>
      <c r="F160" s="224">
        <f>U154</f>
        <v>600</v>
      </c>
      <c r="G160" s="210" t="s">
        <v>19</v>
      </c>
      <c r="H160" s="220"/>
      <c r="I160" s="431" t="e">
        <f>IF(U164&lt;=0.75,$S$58,IF(U164&lt;=0.9,$S$59,IF(U164&lt;1,$S$60,IF(U164&gt;=1,$S$61))))</f>
        <v>#N/A</v>
      </c>
      <c r="J160" s="431"/>
      <c r="K160" s="431"/>
      <c r="L160" s="431"/>
      <c r="M160" s="221"/>
      <c r="N160" s="173"/>
      <c r="O160" s="46"/>
    </row>
    <row r="161" spans="2:21" ht="3.6" customHeight="1" thickBot="1" x14ac:dyDescent="0.35">
      <c r="B161" s="440"/>
      <c r="C161" s="190"/>
      <c r="D161" s="191"/>
      <c r="E161" s="192"/>
      <c r="F161" s="193"/>
      <c r="G161" s="191"/>
      <c r="H161" s="190"/>
      <c r="I161" s="431"/>
      <c r="J161" s="431"/>
      <c r="K161" s="431"/>
      <c r="L161" s="431"/>
      <c r="M161" s="221"/>
      <c r="N161" s="173"/>
      <c r="O161" s="39"/>
      <c r="S161" s="7">
        <f>IF($F$26&lt;301,2500,IF($F$26&lt;801,4800,IF($F$26&lt;2001,7400,IF($F$26&gt;2000,$S$11))))</f>
        <v>2500</v>
      </c>
      <c r="T161" s="7">
        <f>IF($F$26&lt;301,3600,IF($F$26&lt;801,5400,IF($F$26&lt;2001,8400,IF($F$26&gt;2000,$S$11))))</f>
        <v>3600</v>
      </c>
    </row>
    <row r="162" spans="2:21" ht="18.75" customHeight="1" thickBot="1" x14ac:dyDescent="0.35">
      <c r="B162" s="440"/>
      <c r="C162" s="190"/>
      <c r="D162" s="194" t="s">
        <v>391</v>
      </c>
      <c r="E162" s="195"/>
      <c r="F162" s="225" t="e">
        <f>(F160*$F$56/$F$54)</f>
        <v>#N/A</v>
      </c>
      <c r="G162" s="211" t="s">
        <v>16</v>
      </c>
      <c r="H162" s="190"/>
      <c r="I162" s="431"/>
      <c r="J162" s="431"/>
      <c r="K162" s="431"/>
      <c r="L162" s="431"/>
      <c r="M162" s="221"/>
      <c r="N162" s="173"/>
      <c r="O162" s="39"/>
    </row>
    <row r="163" spans="2:21" ht="3.6" customHeight="1" thickBot="1" x14ac:dyDescent="0.35">
      <c r="B163" s="440"/>
      <c r="C163" s="196"/>
      <c r="D163" s="197"/>
      <c r="E163" s="192"/>
      <c r="F163" s="193"/>
      <c r="G163" s="212"/>
      <c r="H163" s="196"/>
      <c r="I163" s="431"/>
      <c r="J163" s="431"/>
      <c r="K163" s="431"/>
      <c r="L163" s="431"/>
      <c r="M163" s="221"/>
      <c r="N163" s="173"/>
      <c r="O163" s="94"/>
    </row>
    <row r="164" spans="2:21" ht="18.75" customHeight="1" thickBot="1" x14ac:dyDescent="0.35">
      <c r="B164" s="440"/>
      <c r="C164" s="196"/>
      <c r="D164" s="197" t="s">
        <v>392</v>
      </c>
      <c r="E164" s="192"/>
      <c r="F164" s="225" t="e">
        <f>(F160*$F$46/$F$54)</f>
        <v>#N/A</v>
      </c>
      <c r="G164" s="213" t="s">
        <v>19</v>
      </c>
      <c r="H164" s="196"/>
      <c r="I164" s="431"/>
      <c r="J164" s="431"/>
      <c r="K164" s="431"/>
      <c r="L164" s="431"/>
      <c r="M164" s="221"/>
      <c r="N164" s="173"/>
      <c r="O164" s="94"/>
      <c r="S164" s="206" t="s">
        <v>394</v>
      </c>
      <c r="T164" s="207"/>
      <c r="U164" s="208" t="e">
        <f>F164/$F$42</f>
        <v>#N/A</v>
      </c>
    </row>
    <row r="165" spans="2:21" ht="18.75" customHeight="1" thickBot="1" x14ac:dyDescent="0.3">
      <c r="B165" s="1"/>
      <c r="C165" s="11"/>
      <c r="D165" s="95"/>
      <c r="E165" s="94"/>
      <c r="F165" s="96"/>
      <c r="G165" s="97"/>
      <c r="H165" s="84"/>
      <c r="I165" s="84"/>
      <c r="J165" s="84"/>
      <c r="K165" s="84"/>
      <c r="L165" s="181"/>
      <c r="M165" s="180"/>
      <c r="N165" s="173"/>
      <c r="O165" s="84"/>
    </row>
    <row r="166" spans="2:21" ht="18.75" customHeight="1" thickBot="1" x14ac:dyDescent="0.3">
      <c r="B166" s="440" t="s">
        <v>393</v>
      </c>
      <c r="C166" s="198"/>
      <c r="D166" s="199" t="s">
        <v>390</v>
      </c>
      <c r="E166" s="196"/>
      <c r="F166" s="226">
        <v>900</v>
      </c>
      <c r="G166" s="214" t="s">
        <v>19</v>
      </c>
      <c r="H166" s="220"/>
      <c r="I166" s="431" t="e">
        <f>IF(U170&lt;=0.75,$S$58,IF(U170&lt;=0.9,$S$59,IF(U170&lt;1,$S$60,IF(U170&gt;=1,$S$61))))</f>
        <v>#N/A</v>
      </c>
      <c r="J166" s="431"/>
      <c r="K166" s="431"/>
      <c r="L166" s="431"/>
      <c r="M166" s="221"/>
      <c r="N166" s="174"/>
      <c r="O166" s="84"/>
    </row>
    <row r="167" spans="2:21" ht="3.6" customHeight="1" thickBot="1" x14ac:dyDescent="0.3">
      <c r="B167" s="440"/>
      <c r="C167" s="198"/>
      <c r="D167" s="188"/>
      <c r="E167" s="201"/>
      <c r="F167" s="202"/>
      <c r="G167" s="215"/>
      <c r="H167" s="220"/>
      <c r="I167" s="431"/>
      <c r="J167" s="431"/>
      <c r="K167" s="431"/>
      <c r="L167" s="431"/>
      <c r="M167" s="221"/>
      <c r="N167" s="174"/>
      <c r="O167" s="84"/>
    </row>
    <row r="168" spans="2:21" ht="18.75" customHeight="1" thickBot="1" x14ac:dyDescent="0.35">
      <c r="B168" s="440"/>
      <c r="C168" s="198"/>
      <c r="D168" s="188" t="s">
        <v>391</v>
      </c>
      <c r="E168" s="198"/>
      <c r="F168" s="225" t="e">
        <f>(F166*$F$56/$F$54)</f>
        <v>#N/A</v>
      </c>
      <c r="G168" s="210" t="s">
        <v>16</v>
      </c>
      <c r="H168" s="222"/>
      <c r="I168" s="431"/>
      <c r="J168" s="431"/>
      <c r="K168" s="431"/>
      <c r="L168" s="431"/>
      <c r="M168" s="221"/>
      <c r="N168" s="174"/>
      <c r="O168" s="84"/>
    </row>
    <row r="169" spans="2:21" ht="3.6" customHeight="1" thickBot="1" x14ac:dyDescent="0.3">
      <c r="B169" s="440"/>
      <c r="C169" s="201"/>
      <c r="D169" s="203"/>
      <c r="E169" s="198"/>
      <c r="F169" s="204"/>
      <c r="G169" s="216"/>
      <c r="H169" s="223"/>
      <c r="I169" s="431"/>
      <c r="J169" s="431"/>
      <c r="K169" s="431"/>
      <c r="L169" s="431"/>
      <c r="M169" s="221"/>
      <c r="N169" s="175"/>
      <c r="O169" s="84"/>
    </row>
    <row r="170" spans="2:21" ht="18.75" customHeight="1" thickBot="1" x14ac:dyDescent="0.35">
      <c r="B170" s="440"/>
      <c r="C170" s="205"/>
      <c r="D170" s="188" t="s">
        <v>392</v>
      </c>
      <c r="E170" s="198"/>
      <c r="F170" s="225" t="e">
        <f>(F166*$F$46/$F$54)</f>
        <v>#N/A</v>
      </c>
      <c r="G170" s="213" t="s">
        <v>19</v>
      </c>
      <c r="H170" s="223"/>
      <c r="I170" s="431"/>
      <c r="J170" s="431"/>
      <c r="K170" s="431"/>
      <c r="L170" s="431"/>
      <c r="M170" s="221"/>
      <c r="N170" s="175"/>
      <c r="O170" s="84"/>
      <c r="S170" s="206" t="s">
        <v>395</v>
      </c>
      <c r="T170" s="207"/>
      <c r="U170" s="208" t="e">
        <f>F170/$F$42</f>
        <v>#N/A</v>
      </c>
    </row>
    <row r="171" spans="2:21" ht="3" customHeight="1" thickBot="1" x14ac:dyDescent="0.3">
      <c r="B171" s="59"/>
      <c r="C171" s="60"/>
      <c r="D171" s="61"/>
      <c r="E171" s="60"/>
      <c r="F171" s="62"/>
      <c r="G171" s="60"/>
      <c r="H171" s="184"/>
      <c r="I171" s="184"/>
      <c r="J171" s="184"/>
      <c r="K171" s="184"/>
      <c r="L171" s="185"/>
      <c r="M171" s="186"/>
      <c r="N171" s="171"/>
      <c r="O171" s="164"/>
    </row>
    <row r="172" spans="2:21" ht="18.75" customHeight="1" thickTop="1" thickBot="1" x14ac:dyDescent="0.3">
      <c r="B172" s="274"/>
      <c r="C172" s="274"/>
      <c r="D172" s="274"/>
      <c r="E172" s="274"/>
      <c r="F172" s="274"/>
      <c r="G172" s="274"/>
      <c r="H172" s="175"/>
      <c r="I172" s="178"/>
      <c r="J172" s="178"/>
      <c r="K172" s="178"/>
      <c r="L172" s="178"/>
      <c r="M172" s="178"/>
      <c r="N172" s="178"/>
      <c r="O172" s="236"/>
      <c r="T172" s="126" t="s">
        <v>383</v>
      </c>
      <c r="U172" s="126" t="s">
        <v>385</v>
      </c>
    </row>
    <row r="173" spans="2:21" ht="36" customHeight="1" thickTop="1" x14ac:dyDescent="0.25">
      <c r="B173" s="441" t="s">
        <v>407</v>
      </c>
      <c r="C173" s="442"/>
      <c r="D173" s="442"/>
      <c r="E173" s="442"/>
      <c r="F173" s="442"/>
      <c r="G173" s="442"/>
      <c r="H173" s="446" t="s">
        <v>401</v>
      </c>
      <c r="I173" s="446"/>
      <c r="J173" s="446"/>
      <c r="K173" s="446"/>
      <c r="L173" s="446"/>
      <c r="M173" s="447"/>
      <c r="N173" s="170"/>
      <c r="O173" s="167"/>
      <c r="S173" s="165" t="s">
        <v>386</v>
      </c>
      <c r="T173" s="131">
        <f>IF($F$11&lt;24,600,IF($F$11&gt;=24,600+$T$30))</f>
        <v>600</v>
      </c>
      <c r="U173" s="131">
        <f>IF(T173&lt;1200,T173,1200)</f>
        <v>600</v>
      </c>
    </row>
    <row r="174" spans="2:21" ht="18.75" customHeight="1" thickBot="1" x14ac:dyDescent="0.35">
      <c r="B174" s="443" t="str">
        <f>IF($F$36&lt;=150," ",IF($F$36&lt;=250,"PRESSURE IS ABOVE 150 PSIG - CONTACT APPLICATIONS ENGINEERING",IF($F$36&gt;250,"NOT RECOMMENDED FOR THE GIVEN PRESSURE")))</f>
        <v xml:space="preserve"> </v>
      </c>
      <c r="C174" s="444"/>
      <c r="D174" s="444"/>
      <c r="E174" s="444"/>
      <c r="F174" s="444"/>
      <c r="G174" s="444"/>
      <c r="H174" s="444" t="str">
        <f>IF($F$7=$Q$38,"THICKNESS APPLIES TO GYLON EPIX ONLY"," ")</f>
        <v xml:space="preserve"> </v>
      </c>
      <c r="I174" s="444"/>
      <c r="J174" s="444"/>
      <c r="K174" s="444"/>
      <c r="L174" s="444"/>
      <c r="M174" s="449"/>
      <c r="N174" s="174"/>
      <c r="O174" s="169"/>
    </row>
    <row r="175" spans="2:21" ht="18.75" customHeight="1" thickBot="1" x14ac:dyDescent="0.3">
      <c r="B175" s="58"/>
      <c r="C175" s="42"/>
      <c r="D175" s="15" t="s">
        <v>324</v>
      </c>
      <c r="E175" s="42"/>
      <c r="F175" s="231">
        <f>($F$36)</f>
        <v>0</v>
      </c>
      <c r="G175" s="13" t="s">
        <v>290</v>
      </c>
      <c r="H175" s="84"/>
      <c r="I175" s="84"/>
      <c r="J175" s="84"/>
      <c r="K175" s="84"/>
      <c r="L175" s="182"/>
      <c r="M175" s="183"/>
      <c r="N175" s="174"/>
      <c r="O175" s="236"/>
    </row>
    <row r="176" spans="2:21" ht="3" customHeight="1" thickBot="1" x14ac:dyDescent="0.3">
      <c r="B176" s="50"/>
      <c r="C176" s="43"/>
      <c r="D176" s="43"/>
      <c r="E176" s="43"/>
      <c r="F176" s="43"/>
      <c r="G176" s="43"/>
      <c r="H176" s="164"/>
      <c r="I176" s="164"/>
      <c r="J176" s="164"/>
      <c r="K176" s="164"/>
      <c r="L176" s="171"/>
      <c r="M176" s="179"/>
      <c r="N176" s="171"/>
      <c r="O176" s="164"/>
    </row>
    <row r="177" spans="2:21" ht="18.75" customHeight="1" thickBot="1" x14ac:dyDescent="0.35">
      <c r="B177" s="1"/>
      <c r="C177" s="2"/>
      <c r="D177" s="17" t="s">
        <v>319</v>
      </c>
      <c r="E177" s="2"/>
      <c r="F177" s="228">
        <f>($F$7)</f>
        <v>0</v>
      </c>
      <c r="G177" s="14" t="s">
        <v>321</v>
      </c>
      <c r="H177" s="38"/>
      <c r="I177" s="445" t="s">
        <v>396</v>
      </c>
      <c r="J177" s="445"/>
      <c r="K177" s="445"/>
      <c r="L177" s="445"/>
      <c r="M177" s="217"/>
      <c r="N177" s="173"/>
      <c r="O177" s="38"/>
    </row>
    <row r="178" spans="2:21" ht="19.2" customHeight="1" thickBot="1" x14ac:dyDescent="0.35">
      <c r="B178" s="50"/>
      <c r="C178" s="227"/>
      <c r="D178" s="14"/>
      <c r="E178" s="2"/>
      <c r="F178" s="57"/>
      <c r="G178" s="14"/>
      <c r="H178" s="227"/>
      <c r="I178" s="227"/>
      <c r="J178" s="227"/>
      <c r="K178" s="46"/>
      <c r="L178" s="181"/>
      <c r="M178" s="180"/>
      <c r="N178" s="173"/>
      <c r="O178" s="46"/>
    </row>
    <row r="179" spans="2:21" ht="18.75" customHeight="1" thickBot="1" x14ac:dyDescent="0.3">
      <c r="B179" s="440" t="s">
        <v>389</v>
      </c>
      <c r="C179" s="187"/>
      <c r="D179" s="188" t="s">
        <v>390</v>
      </c>
      <c r="E179" s="189"/>
      <c r="F179" s="224">
        <f>U173</f>
        <v>600</v>
      </c>
      <c r="G179" s="210" t="s">
        <v>19</v>
      </c>
      <c r="H179" s="220"/>
      <c r="I179" s="431" t="e">
        <f>IF(U183&lt;=0.75,$S$58,IF(U183&lt;=0.9,$S$59,IF(U183&lt;1,$S$60,IF(U183&gt;=1,$S$61))))</f>
        <v>#N/A</v>
      </c>
      <c r="J179" s="431"/>
      <c r="K179" s="431"/>
      <c r="L179" s="431"/>
      <c r="M179" s="221"/>
      <c r="N179" s="173"/>
      <c r="O179" s="46"/>
    </row>
    <row r="180" spans="2:21" ht="3.6" customHeight="1" thickBot="1" x14ac:dyDescent="0.35">
      <c r="B180" s="440"/>
      <c r="C180" s="190"/>
      <c r="D180" s="191"/>
      <c r="E180" s="192"/>
      <c r="F180" s="193"/>
      <c r="G180" s="191"/>
      <c r="H180" s="190"/>
      <c r="I180" s="431"/>
      <c r="J180" s="431"/>
      <c r="K180" s="431"/>
      <c r="L180" s="431"/>
      <c r="M180" s="221"/>
      <c r="N180" s="173"/>
      <c r="O180" s="39"/>
      <c r="S180" s="7">
        <f>IF($F$26&lt;301,2500,IF($F$26&lt;801,4800,IF($F$26&lt;2001,7400,IF($F$26&gt;2000,$S$11))))</f>
        <v>2500</v>
      </c>
      <c r="T180" s="7">
        <f>IF($F$26&lt;301,3600,IF($F$26&lt;801,5400,IF($F$26&lt;2001,8400,IF($F$26&gt;2000,$S$11))))</f>
        <v>3600</v>
      </c>
    </row>
    <row r="181" spans="2:21" ht="18.75" customHeight="1" thickBot="1" x14ac:dyDescent="0.35">
      <c r="B181" s="440"/>
      <c r="C181" s="190"/>
      <c r="D181" s="194" t="s">
        <v>391</v>
      </c>
      <c r="E181" s="195"/>
      <c r="F181" s="225" t="e">
        <f>(F179*$F$56/$F$54)</f>
        <v>#N/A</v>
      </c>
      <c r="G181" s="211" t="s">
        <v>16</v>
      </c>
      <c r="H181" s="190"/>
      <c r="I181" s="431"/>
      <c r="J181" s="431"/>
      <c r="K181" s="431"/>
      <c r="L181" s="431"/>
      <c r="M181" s="221"/>
      <c r="N181" s="173"/>
      <c r="O181" s="39"/>
    </row>
    <row r="182" spans="2:21" ht="3.6" customHeight="1" thickBot="1" x14ac:dyDescent="0.35">
      <c r="B182" s="440"/>
      <c r="C182" s="196"/>
      <c r="D182" s="197"/>
      <c r="E182" s="192"/>
      <c r="F182" s="193"/>
      <c r="G182" s="212"/>
      <c r="H182" s="196"/>
      <c r="I182" s="431"/>
      <c r="J182" s="431"/>
      <c r="K182" s="431"/>
      <c r="L182" s="431"/>
      <c r="M182" s="221"/>
      <c r="N182" s="173"/>
      <c r="O182" s="94"/>
    </row>
    <row r="183" spans="2:21" ht="18.75" customHeight="1" thickBot="1" x14ac:dyDescent="0.35">
      <c r="B183" s="440"/>
      <c r="C183" s="196"/>
      <c r="D183" s="197" t="s">
        <v>392</v>
      </c>
      <c r="E183" s="192"/>
      <c r="F183" s="225" t="e">
        <f>(F179*$F$46/$F$54)</f>
        <v>#N/A</v>
      </c>
      <c r="G183" s="213" t="s">
        <v>19</v>
      </c>
      <c r="H183" s="196"/>
      <c r="I183" s="431"/>
      <c r="J183" s="431"/>
      <c r="K183" s="431"/>
      <c r="L183" s="431"/>
      <c r="M183" s="221"/>
      <c r="N183" s="173"/>
      <c r="O183" s="94"/>
      <c r="S183" s="206" t="s">
        <v>394</v>
      </c>
      <c r="T183" s="207"/>
      <c r="U183" s="208" t="e">
        <f>F183/$F$42</f>
        <v>#N/A</v>
      </c>
    </row>
    <row r="184" spans="2:21" ht="18.75" customHeight="1" thickBot="1" x14ac:dyDescent="0.3">
      <c r="B184" s="1"/>
      <c r="C184" s="11"/>
      <c r="D184" s="95"/>
      <c r="E184" s="94"/>
      <c r="F184" s="96"/>
      <c r="G184" s="97"/>
      <c r="H184" s="84"/>
      <c r="I184" s="84"/>
      <c r="J184" s="84"/>
      <c r="K184" s="84"/>
      <c r="L184" s="181"/>
      <c r="M184" s="180"/>
      <c r="N184" s="173"/>
      <c r="O184" s="84"/>
    </row>
    <row r="185" spans="2:21" ht="18.75" customHeight="1" thickBot="1" x14ac:dyDescent="0.3">
      <c r="B185" s="440" t="s">
        <v>393</v>
      </c>
      <c r="C185" s="198"/>
      <c r="D185" s="199" t="s">
        <v>390</v>
      </c>
      <c r="E185" s="196"/>
      <c r="F185" s="226">
        <v>1200</v>
      </c>
      <c r="G185" s="214" t="s">
        <v>19</v>
      </c>
      <c r="H185" s="220"/>
      <c r="I185" s="431" t="e">
        <f>IF(U189&lt;=0.75,$S$58,IF(U189&lt;=0.9,$S$59,IF(U189&lt;1,$S$60,IF(U189&gt;=1,$S$61))))</f>
        <v>#N/A</v>
      </c>
      <c r="J185" s="431"/>
      <c r="K185" s="431"/>
      <c r="L185" s="431"/>
      <c r="M185" s="221"/>
      <c r="N185" s="174"/>
      <c r="O185" s="84"/>
    </row>
    <row r="186" spans="2:21" ht="3.6" customHeight="1" thickBot="1" x14ac:dyDescent="0.3">
      <c r="B186" s="440"/>
      <c r="C186" s="198"/>
      <c r="D186" s="188"/>
      <c r="E186" s="201"/>
      <c r="F186" s="202"/>
      <c r="G186" s="215"/>
      <c r="H186" s="220"/>
      <c r="I186" s="431"/>
      <c r="J186" s="431"/>
      <c r="K186" s="431"/>
      <c r="L186" s="431"/>
      <c r="M186" s="221"/>
      <c r="N186" s="174"/>
      <c r="O186" s="84"/>
    </row>
    <row r="187" spans="2:21" ht="18.75" customHeight="1" thickBot="1" x14ac:dyDescent="0.35">
      <c r="B187" s="440"/>
      <c r="C187" s="198"/>
      <c r="D187" s="188" t="s">
        <v>391</v>
      </c>
      <c r="E187" s="198"/>
      <c r="F187" s="225" t="e">
        <f>(F185*$F$56/$F$54)</f>
        <v>#N/A</v>
      </c>
      <c r="G187" s="210" t="s">
        <v>16</v>
      </c>
      <c r="H187" s="222"/>
      <c r="I187" s="431"/>
      <c r="J187" s="431"/>
      <c r="K187" s="431"/>
      <c r="L187" s="431"/>
      <c r="M187" s="221"/>
      <c r="N187" s="174"/>
      <c r="O187" s="84"/>
    </row>
    <row r="188" spans="2:21" ht="3.6" customHeight="1" thickBot="1" x14ac:dyDescent="0.3">
      <c r="B188" s="440"/>
      <c r="C188" s="201"/>
      <c r="D188" s="203"/>
      <c r="E188" s="198"/>
      <c r="F188" s="204"/>
      <c r="G188" s="216"/>
      <c r="H188" s="223"/>
      <c r="I188" s="431"/>
      <c r="J188" s="431"/>
      <c r="K188" s="431"/>
      <c r="L188" s="431"/>
      <c r="M188" s="221"/>
      <c r="N188" s="175"/>
      <c r="O188" s="84"/>
    </row>
    <row r="189" spans="2:21" ht="18.75" customHeight="1" thickBot="1" x14ac:dyDescent="0.35">
      <c r="B189" s="440"/>
      <c r="C189" s="205"/>
      <c r="D189" s="188" t="s">
        <v>392</v>
      </c>
      <c r="E189" s="198"/>
      <c r="F189" s="225" t="e">
        <f>(F185*$F$46/$F$54)</f>
        <v>#N/A</v>
      </c>
      <c r="G189" s="213" t="s">
        <v>19</v>
      </c>
      <c r="H189" s="223"/>
      <c r="I189" s="431"/>
      <c r="J189" s="431"/>
      <c r="K189" s="431"/>
      <c r="L189" s="431"/>
      <c r="M189" s="221"/>
      <c r="N189" s="175"/>
      <c r="O189" s="84"/>
      <c r="S189" s="206" t="s">
        <v>395</v>
      </c>
      <c r="T189" s="207"/>
      <c r="U189" s="208" t="e">
        <f>F189/$F$42</f>
        <v>#N/A</v>
      </c>
    </row>
    <row r="190" spans="2:21" ht="2.4" customHeight="1" thickBot="1" x14ac:dyDescent="0.3">
      <c r="B190" s="59"/>
      <c r="C190" s="60"/>
      <c r="D190" s="61"/>
      <c r="E190" s="60"/>
      <c r="F190" s="62"/>
      <c r="G190" s="60"/>
      <c r="H190" s="184"/>
      <c r="I190" s="184"/>
      <c r="J190" s="184"/>
      <c r="K190" s="184"/>
      <c r="L190" s="184"/>
      <c r="M190" s="219"/>
      <c r="N190" s="164"/>
      <c r="O190" s="164"/>
    </row>
    <row r="191" spans="2:21" ht="18.75" customHeight="1" thickTop="1" x14ac:dyDescent="0.25"/>
    <row r="192" spans="2:21" ht="18.75" hidden="1" customHeight="1" x14ac:dyDescent="0.25"/>
    <row r="193" ht="18.75" hidden="1" customHeight="1" x14ac:dyDescent="0.25"/>
    <row r="194" ht="18.75" hidden="1" customHeight="1" x14ac:dyDescent="0.25"/>
    <row r="195" ht="18.75" hidden="1" customHeight="1" x14ac:dyDescent="0.25"/>
    <row r="196" ht="18.75" hidden="1" customHeight="1" x14ac:dyDescent="0.25"/>
    <row r="197" ht="18.75" hidden="1" customHeight="1" x14ac:dyDescent="0.25"/>
    <row r="198" ht="18.75" hidden="1" customHeight="1" x14ac:dyDescent="0.25"/>
    <row r="199" ht="18.75" hidden="1" customHeight="1" x14ac:dyDescent="0.25"/>
    <row r="200" ht="18.75" hidden="1" customHeight="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spans="28:31" hidden="1" x14ac:dyDescent="0.25"/>
    <row r="242" spans="28:31" hidden="1" x14ac:dyDescent="0.25"/>
    <row r="243" spans="28:31" hidden="1" x14ac:dyDescent="0.25"/>
    <row r="244" spans="28:31" hidden="1" x14ac:dyDescent="0.25">
      <c r="AB244" s="7" t="s">
        <v>41</v>
      </c>
      <c r="AD244" s="28">
        <v>0.25</v>
      </c>
      <c r="AE244" s="7" t="e">
        <f>LOOKUP($F$40,BOLT!$A$1:$A$39,BOLT!B$1:B$39)</f>
        <v>#N/A</v>
      </c>
    </row>
    <row r="245" spans="28:31" hidden="1" x14ac:dyDescent="0.25">
      <c r="AB245" s="7" t="s">
        <v>42</v>
      </c>
      <c r="AD245" s="28">
        <v>0.3125</v>
      </c>
      <c r="AE245" s="7" t="e">
        <f>LOOKUP($F$40,BOLT!$A$1:$A$39,BOLT!C$1:C$39)</f>
        <v>#N/A</v>
      </c>
    </row>
    <row r="246" spans="28:31" hidden="1" x14ac:dyDescent="0.25">
      <c r="AB246" s="7" t="s">
        <v>43</v>
      </c>
      <c r="AD246" s="28">
        <v>0.375</v>
      </c>
      <c r="AE246" s="7" t="e">
        <f>LOOKUP($F$40,BOLT!$A$1:$A$39,BOLT!D$1:D$39)</f>
        <v>#N/A</v>
      </c>
    </row>
    <row r="247" spans="28:31" hidden="1" x14ac:dyDescent="0.25">
      <c r="AB247" s="7" t="s">
        <v>44</v>
      </c>
      <c r="AD247" s="28">
        <v>0.4375</v>
      </c>
      <c r="AE247" s="7" t="e">
        <f>LOOKUP($F$40,BOLT!$A$1:$A$39,BOLT!E$1:E$39)</f>
        <v>#N/A</v>
      </c>
    </row>
    <row r="248" spans="28:31" hidden="1" x14ac:dyDescent="0.25">
      <c r="AB248" s="7" t="s">
        <v>45</v>
      </c>
      <c r="AD248" s="28">
        <v>0.5</v>
      </c>
      <c r="AE248" s="7" t="e">
        <f>LOOKUP($F$40,BOLT!$A$1:$A$39,BOLT!F$1:F$39)</f>
        <v>#N/A</v>
      </c>
    </row>
    <row r="249" spans="28:31" hidden="1" x14ac:dyDescent="0.25">
      <c r="AB249" s="7" t="s">
        <v>46</v>
      </c>
      <c r="AD249" s="28">
        <v>0.5625</v>
      </c>
      <c r="AE249" s="7" t="e">
        <f>LOOKUP($F$40,BOLT!$A$1:$A$39,BOLT!G$1:G$39)</f>
        <v>#N/A</v>
      </c>
    </row>
    <row r="250" spans="28:31" hidden="1" x14ac:dyDescent="0.25">
      <c r="AB250" s="7" t="s">
        <v>47</v>
      </c>
      <c r="AD250" s="28">
        <v>0.625</v>
      </c>
      <c r="AE250" s="7" t="e">
        <f>LOOKUP($F$40,BOLT!$A$1:$A$39,BOLT!H$1:H$39)</f>
        <v>#N/A</v>
      </c>
    </row>
    <row r="251" spans="28:31" hidden="1" x14ac:dyDescent="0.25">
      <c r="AB251" s="7" t="s">
        <v>48</v>
      </c>
      <c r="AD251" s="28">
        <v>0.75</v>
      </c>
      <c r="AE251" s="7" t="e">
        <f>LOOKUP($F$40,BOLT!$A$1:$A$39,BOLT!I$1:I$39)</f>
        <v>#N/A</v>
      </c>
    </row>
    <row r="252" spans="28:31" hidden="1" x14ac:dyDescent="0.25">
      <c r="AB252" s="7" t="s">
        <v>49</v>
      </c>
      <c r="AD252" s="28">
        <v>0.875</v>
      </c>
      <c r="AE252" s="7" t="e">
        <f>LOOKUP($F$40,BOLT!$A$1:$A$39,BOLT!J$1:J$39)</f>
        <v>#N/A</v>
      </c>
    </row>
    <row r="253" spans="28:31" hidden="1" x14ac:dyDescent="0.25">
      <c r="AB253" s="7" t="s">
        <v>50</v>
      </c>
      <c r="AD253" s="28">
        <v>1</v>
      </c>
      <c r="AE253" s="7" t="e">
        <f>LOOKUP($F$40,BOLT!$A$1:$A$39,BOLT!K$1:K$39)</f>
        <v>#N/A</v>
      </c>
    </row>
    <row r="254" spans="28:31" hidden="1" x14ac:dyDescent="0.25">
      <c r="AB254" s="7" t="s">
        <v>51</v>
      </c>
      <c r="AD254" s="28">
        <v>1.125</v>
      </c>
      <c r="AE254" s="7" t="e">
        <f>LOOKUP($F$40,BOLT!$A$1:$A$39,BOLT!L$1:L$39)</f>
        <v>#N/A</v>
      </c>
    </row>
    <row r="255" spans="28:31" hidden="1" x14ac:dyDescent="0.25">
      <c r="AB255" s="7" t="s">
        <v>52</v>
      </c>
      <c r="AD255" s="28">
        <v>1.25</v>
      </c>
      <c r="AE255" s="7" t="e">
        <f>LOOKUP($F$40,BOLT!$A$1:$A$39,BOLT!M$1:M$39)</f>
        <v>#N/A</v>
      </c>
    </row>
    <row r="256" spans="28:31" hidden="1" x14ac:dyDescent="0.25">
      <c r="AB256" s="7" t="s">
        <v>53</v>
      </c>
      <c r="AD256" s="28">
        <v>1.375</v>
      </c>
      <c r="AE256" s="7" t="e">
        <f>LOOKUP($F$40,BOLT!$A$1:$A$39,BOLT!N$1:N$39)</f>
        <v>#N/A</v>
      </c>
    </row>
    <row r="257" spans="28:31" hidden="1" x14ac:dyDescent="0.25">
      <c r="AB257" s="7" t="s">
        <v>54</v>
      </c>
      <c r="AD257" s="28">
        <v>1.5</v>
      </c>
      <c r="AE257" s="7" t="e">
        <f>LOOKUP($F$40,BOLT!$A$1:$A$39,BOLT!O$1:O$39)</f>
        <v>#N/A</v>
      </c>
    </row>
    <row r="258" spans="28:31" hidden="1" x14ac:dyDescent="0.25">
      <c r="AB258" s="7" t="s">
        <v>55</v>
      </c>
      <c r="AD258" s="28">
        <v>1.625</v>
      </c>
      <c r="AE258" s="7" t="e">
        <f>LOOKUP($F$40,BOLT!$A$1:$A$39,BOLT!P$1:P$39)</f>
        <v>#N/A</v>
      </c>
    </row>
    <row r="259" spans="28:31" hidden="1" x14ac:dyDescent="0.25">
      <c r="AB259" s="7" t="s">
        <v>57</v>
      </c>
      <c r="AD259" s="28">
        <v>1.75</v>
      </c>
      <c r="AE259" s="7" t="e">
        <f>LOOKUP($F$40,BOLT!$A$1:$A$39,BOLT!Q$1:Q$39)</f>
        <v>#N/A</v>
      </c>
    </row>
    <row r="260" spans="28:31" hidden="1" x14ac:dyDescent="0.25">
      <c r="AB260" s="7" t="s">
        <v>58</v>
      </c>
      <c r="AD260" s="28">
        <v>1.875</v>
      </c>
      <c r="AE260" s="7" t="e">
        <f>LOOKUP($F$40,BOLT!$A$1:$A$39,BOLT!R$1:R$39)</f>
        <v>#N/A</v>
      </c>
    </row>
    <row r="261" spans="28:31" hidden="1" x14ac:dyDescent="0.25">
      <c r="AB261" s="7" t="s">
        <v>59</v>
      </c>
      <c r="AD261" s="28">
        <v>2</v>
      </c>
      <c r="AE261" s="7" t="e">
        <f>LOOKUP($F$40,BOLT!$A$1:$A$39,BOLT!S$1:S$39)</f>
        <v>#N/A</v>
      </c>
    </row>
    <row r="262" spans="28:31" hidden="1" x14ac:dyDescent="0.25">
      <c r="AB262" s="7" t="s">
        <v>60</v>
      </c>
      <c r="AD262" s="28">
        <v>2.25</v>
      </c>
      <c r="AE262" s="7" t="e">
        <f>LOOKUP($F$40,BOLT!$A$1:$A$39,BOLT!T$1:T$39)</f>
        <v>#N/A</v>
      </c>
    </row>
    <row r="263" spans="28:31" hidden="1" x14ac:dyDescent="0.25">
      <c r="AB263" s="7" t="s">
        <v>61</v>
      </c>
      <c r="AD263" s="28">
        <v>2.5</v>
      </c>
      <c r="AE263" s="7" t="e">
        <f>LOOKUP($F$40,BOLT!$A$1:$A$39,BOLT!U$1:U$39)</f>
        <v>#N/A</v>
      </c>
    </row>
    <row r="264" spans="28:31" hidden="1" x14ac:dyDescent="0.25">
      <c r="AB264" s="7" t="s">
        <v>62</v>
      </c>
      <c r="AD264" s="28">
        <v>2.75</v>
      </c>
      <c r="AE264" s="7" t="e">
        <f>LOOKUP($F$40,BOLT!$A$1:$A$39,BOLT!V$1:V$39)</f>
        <v>#N/A</v>
      </c>
    </row>
    <row r="265" spans="28:31" hidden="1" x14ac:dyDescent="0.25">
      <c r="AB265" s="7" t="s">
        <v>63</v>
      </c>
      <c r="AD265" s="28">
        <v>3</v>
      </c>
      <c r="AE265" s="7" t="e">
        <f>LOOKUP($F$40,BOLT!$A$1:$A$39,BOLT!W$1:W$39)</f>
        <v>#N/A</v>
      </c>
    </row>
    <row r="266" spans="28:31" hidden="1" x14ac:dyDescent="0.25">
      <c r="AB266" s="7" t="s">
        <v>64</v>
      </c>
    </row>
    <row r="267" spans="28:31" hidden="1" x14ac:dyDescent="0.25">
      <c r="AB267" s="7" t="s">
        <v>65</v>
      </c>
    </row>
    <row r="268" spans="28:31" hidden="1" x14ac:dyDescent="0.25">
      <c r="AB268" s="7" t="s">
        <v>66</v>
      </c>
    </row>
    <row r="269" spans="28:31" hidden="1" x14ac:dyDescent="0.25">
      <c r="AB269" s="7" t="s">
        <v>67</v>
      </c>
    </row>
    <row r="270" spans="28:31" hidden="1" x14ac:dyDescent="0.25">
      <c r="AB270" s="7" t="s">
        <v>68</v>
      </c>
    </row>
    <row r="271" spans="28:31" hidden="1" x14ac:dyDescent="0.25">
      <c r="AB271" s="7" t="s">
        <v>69</v>
      </c>
    </row>
    <row r="272" spans="28:31" hidden="1" x14ac:dyDescent="0.25">
      <c r="AB272" s="7" t="s">
        <v>70</v>
      </c>
    </row>
    <row r="273" spans="28:28" hidden="1" x14ac:dyDescent="0.25">
      <c r="AB273" s="7" t="s">
        <v>71</v>
      </c>
    </row>
    <row r="274" spans="28:28" hidden="1" x14ac:dyDescent="0.25">
      <c r="AB274" s="7" t="s">
        <v>72</v>
      </c>
    </row>
    <row r="275" spans="28:28" hidden="1" x14ac:dyDescent="0.25">
      <c r="AB275" s="7" t="s">
        <v>73</v>
      </c>
    </row>
    <row r="276" spans="28:28" hidden="1" x14ac:dyDescent="0.25">
      <c r="AB276" s="7" t="s">
        <v>74</v>
      </c>
    </row>
    <row r="277" spans="28:28" hidden="1" x14ac:dyDescent="0.25">
      <c r="AB277" s="7" t="s">
        <v>75</v>
      </c>
    </row>
    <row r="278" spans="28:28" hidden="1" x14ac:dyDescent="0.25">
      <c r="AB278" s="7" t="s">
        <v>76</v>
      </c>
    </row>
    <row r="279" spans="28:28" hidden="1" x14ac:dyDescent="0.25">
      <c r="AB279" s="7" t="s">
        <v>77</v>
      </c>
    </row>
    <row r="280" spans="28:28" hidden="1" x14ac:dyDescent="0.25">
      <c r="AB280" s="7" t="s">
        <v>78</v>
      </c>
    </row>
    <row r="281" spans="28:28" hidden="1" x14ac:dyDescent="0.25">
      <c r="AB281" s="7" t="s">
        <v>79</v>
      </c>
    </row>
  </sheetData>
  <sheetProtection password="D401" sheet="1" objects="1" scenarios="1" selectLockedCells="1"/>
  <mergeCells count="70">
    <mergeCell ref="H174:M174"/>
    <mergeCell ref="B63:G63"/>
    <mergeCell ref="B148:M148"/>
    <mergeCell ref="B107:B111"/>
    <mergeCell ref="B141:B145"/>
    <mergeCell ref="I141:L145"/>
    <mergeCell ref="H97:M97"/>
    <mergeCell ref="H98:M98"/>
    <mergeCell ref="H115:M115"/>
    <mergeCell ref="H132:M132"/>
    <mergeCell ref="H80:M80"/>
    <mergeCell ref="B149:M151"/>
    <mergeCell ref="B154:G154"/>
    <mergeCell ref="H154:M154"/>
    <mergeCell ref="I158:L158"/>
    <mergeCell ref="B155:G155"/>
    <mergeCell ref="B81:G81"/>
    <mergeCell ref="B98:G98"/>
    <mergeCell ref="B115:G115"/>
    <mergeCell ref="H64:M64"/>
    <mergeCell ref="H81:M81"/>
    <mergeCell ref="H26:I26"/>
    <mergeCell ref="H31:I31"/>
    <mergeCell ref="C19:J20"/>
    <mergeCell ref="B64:G64"/>
    <mergeCell ref="H63:M63"/>
    <mergeCell ref="I46:K46"/>
    <mergeCell ref="H155:M155"/>
    <mergeCell ref="I160:L164"/>
    <mergeCell ref="B166:B170"/>
    <mergeCell ref="I166:L170"/>
    <mergeCell ref="B173:G173"/>
    <mergeCell ref="H173:M173"/>
    <mergeCell ref="I177:L177"/>
    <mergeCell ref="B179:B183"/>
    <mergeCell ref="I179:L183"/>
    <mergeCell ref="B185:B189"/>
    <mergeCell ref="I185:L189"/>
    <mergeCell ref="B174:G174"/>
    <mergeCell ref="I82:L82"/>
    <mergeCell ref="B84:B88"/>
    <mergeCell ref="I84:L88"/>
    <mergeCell ref="B90:B94"/>
    <mergeCell ref="I90:L94"/>
    <mergeCell ref="B118:B122"/>
    <mergeCell ref="I118:L122"/>
    <mergeCell ref="B124:B128"/>
    <mergeCell ref="I124:L128"/>
    <mergeCell ref="I99:L99"/>
    <mergeCell ref="B101:B105"/>
    <mergeCell ref="I101:L105"/>
    <mergeCell ref="I107:L111"/>
    <mergeCell ref="I116:L116"/>
    <mergeCell ref="B160:B164"/>
    <mergeCell ref="B3:L3"/>
    <mergeCell ref="I133:L133"/>
    <mergeCell ref="B135:B139"/>
    <mergeCell ref="I135:L139"/>
    <mergeCell ref="I65:L65"/>
    <mergeCell ref="B67:B71"/>
    <mergeCell ref="I67:L71"/>
    <mergeCell ref="B73:B77"/>
    <mergeCell ref="I73:L77"/>
    <mergeCell ref="B114:M114"/>
    <mergeCell ref="B131:M131"/>
    <mergeCell ref="F40:G40"/>
    <mergeCell ref="B58:M60"/>
    <mergeCell ref="K5:N5"/>
    <mergeCell ref="H22:I22"/>
    <mergeCell ref="H24:I24"/>
  </mergeCells>
  <phoneticPr fontId="0" type="noConversion"/>
  <conditionalFormatting sqref="I67:L71">
    <cfRule type="cellIs" dxfId="193" priority="164" operator="equal">
      <formula>$S$60</formula>
    </cfRule>
    <cfRule type="cellIs" dxfId="192" priority="165" operator="equal">
      <formula>$S$59</formula>
    </cfRule>
    <cfRule type="cellIs" dxfId="191" priority="166" operator="equal">
      <formula>$S$58</formula>
    </cfRule>
  </conditionalFormatting>
  <conditionalFormatting sqref="I67:L71">
    <cfRule type="cellIs" dxfId="190" priority="163" operator="equal">
      <formula>$S$61</formula>
    </cfRule>
  </conditionalFormatting>
  <conditionalFormatting sqref="I73:L77">
    <cfRule type="cellIs" dxfId="189" priority="56" operator="equal">
      <formula>$S$60</formula>
    </cfRule>
    <cfRule type="cellIs" dxfId="188" priority="57" operator="equal">
      <formula>$S$59</formula>
    </cfRule>
    <cfRule type="cellIs" dxfId="187" priority="58" operator="equal">
      <formula>$S$58</formula>
    </cfRule>
  </conditionalFormatting>
  <conditionalFormatting sqref="I73:L77">
    <cfRule type="cellIs" dxfId="186" priority="55" operator="equal">
      <formula>$S$61</formula>
    </cfRule>
  </conditionalFormatting>
  <conditionalFormatting sqref="I84:L88">
    <cfRule type="cellIs" dxfId="185" priority="52" operator="equal">
      <formula>$S$60</formula>
    </cfRule>
    <cfRule type="cellIs" dxfId="184" priority="53" operator="equal">
      <formula>$S$59</formula>
    </cfRule>
    <cfRule type="cellIs" dxfId="183" priority="54" operator="equal">
      <formula>$S$58</formula>
    </cfRule>
  </conditionalFormatting>
  <conditionalFormatting sqref="I84:L88">
    <cfRule type="cellIs" dxfId="182" priority="51" operator="equal">
      <formula>$S$61</formula>
    </cfRule>
  </conditionalFormatting>
  <conditionalFormatting sqref="I90:L94">
    <cfRule type="cellIs" dxfId="181" priority="48" operator="equal">
      <formula>$S$60</formula>
    </cfRule>
    <cfRule type="cellIs" dxfId="180" priority="49" operator="equal">
      <formula>$S$59</formula>
    </cfRule>
    <cfRule type="cellIs" dxfId="179" priority="50" operator="equal">
      <formula>$S$58</formula>
    </cfRule>
  </conditionalFormatting>
  <conditionalFormatting sqref="I90:L94">
    <cfRule type="cellIs" dxfId="178" priority="47" operator="equal">
      <formula>$S$61</formula>
    </cfRule>
  </conditionalFormatting>
  <conditionalFormatting sqref="I101:L105">
    <cfRule type="cellIs" dxfId="177" priority="44" operator="equal">
      <formula>$S$60</formula>
    </cfRule>
    <cfRule type="cellIs" dxfId="176" priority="45" operator="equal">
      <formula>$S$59</formula>
    </cfRule>
    <cfRule type="cellIs" dxfId="175" priority="46" operator="equal">
      <formula>$S$58</formula>
    </cfRule>
  </conditionalFormatting>
  <conditionalFormatting sqref="I101:L105">
    <cfRule type="cellIs" dxfId="174" priority="43" operator="equal">
      <formula>$S$61</formula>
    </cfRule>
  </conditionalFormatting>
  <conditionalFormatting sqref="I107:L111">
    <cfRule type="cellIs" dxfId="173" priority="40" operator="equal">
      <formula>$S$60</formula>
    </cfRule>
    <cfRule type="cellIs" dxfId="172" priority="41" operator="equal">
      <formula>$S$59</formula>
    </cfRule>
    <cfRule type="cellIs" dxfId="171" priority="42" operator="equal">
      <formula>$S$58</formula>
    </cfRule>
  </conditionalFormatting>
  <conditionalFormatting sqref="I107:L111">
    <cfRule type="cellIs" dxfId="170" priority="39" operator="equal">
      <formula>$S$61</formula>
    </cfRule>
  </conditionalFormatting>
  <conditionalFormatting sqref="I118:L122">
    <cfRule type="cellIs" dxfId="169" priority="36" operator="equal">
      <formula>$S$60</formula>
    </cfRule>
    <cfRule type="cellIs" dxfId="168" priority="37" operator="equal">
      <formula>$S$59</formula>
    </cfRule>
    <cfRule type="cellIs" dxfId="167" priority="38" operator="equal">
      <formula>$S$58</formula>
    </cfRule>
  </conditionalFormatting>
  <conditionalFormatting sqref="I118:L122">
    <cfRule type="cellIs" dxfId="166" priority="35" operator="equal">
      <formula>$S$61</formula>
    </cfRule>
  </conditionalFormatting>
  <conditionalFormatting sqref="I124:L128">
    <cfRule type="cellIs" dxfId="165" priority="32" operator="equal">
      <formula>$S$60</formula>
    </cfRule>
    <cfRule type="cellIs" dxfId="164" priority="33" operator="equal">
      <formula>$S$59</formula>
    </cfRule>
    <cfRule type="cellIs" dxfId="163" priority="34" operator="equal">
      <formula>$S$58</formula>
    </cfRule>
  </conditionalFormatting>
  <conditionalFormatting sqref="I124:L128">
    <cfRule type="cellIs" dxfId="162" priority="31" operator="equal">
      <formula>$S$61</formula>
    </cfRule>
  </conditionalFormatting>
  <conditionalFormatting sqref="I135:L139">
    <cfRule type="cellIs" dxfId="161" priority="28" operator="equal">
      <formula>$S$60</formula>
    </cfRule>
    <cfRule type="cellIs" dxfId="160" priority="29" operator="equal">
      <formula>$S$59</formula>
    </cfRule>
    <cfRule type="cellIs" dxfId="159" priority="30" operator="equal">
      <formula>$S$58</formula>
    </cfRule>
  </conditionalFormatting>
  <conditionalFormatting sqref="I135:L139">
    <cfRule type="cellIs" dxfId="158" priority="27" operator="equal">
      <formula>$S$61</formula>
    </cfRule>
  </conditionalFormatting>
  <conditionalFormatting sqref="I141:L145">
    <cfRule type="cellIs" dxfId="157" priority="24" operator="equal">
      <formula>$S$60</formula>
    </cfRule>
    <cfRule type="cellIs" dxfId="156" priority="25" operator="equal">
      <formula>$S$59</formula>
    </cfRule>
    <cfRule type="cellIs" dxfId="155" priority="26" operator="equal">
      <formula>$S$58</formula>
    </cfRule>
  </conditionalFormatting>
  <conditionalFormatting sqref="I141:L145">
    <cfRule type="cellIs" dxfId="154" priority="23" operator="equal">
      <formula>$S$61</formula>
    </cfRule>
  </conditionalFormatting>
  <conditionalFormatting sqref="I160:L164">
    <cfRule type="cellIs" dxfId="153" priority="20" operator="equal">
      <formula>$S$60</formula>
    </cfRule>
    <cfRule type="cellIs" dxfId="152" priority="21" operator="equal">
      <formula>$S$59</formula>
    </cfRule>
    <cfRule type="cellIs" dxfId="151" priority="22" operator="equal">
      <formula>$S$58</formula>
    </cfRule>
  </conditionalFormatting>
  <conditionalFormatting sqref="I160:L164">
    <cfRule type="cellIs" dxfId="150" priority="19" operator="equal">
      <formula>$S$61</formula>
    </cfRule>
  </conditionalFormatting>
  <conditionalFormatting sqref="I166:L170">
    <cfRule type="cellIs" dxfId="149" priority="16" operator="equal">
      <formula>$S$60</formula>
    </cfRule>
    <cfRule type="cellIs" dxfId="148" priority="17" operator="equal">
      <formula>$S$59</formula>
    </cfRule>
    <cfRule type="cellIs" dxfId="147" priority="18" operator="equal">
      <formula>$S$58</formula>
    </cfRule>
  </conditionalFormatting>
  <conditionalFormatting sqref="I166:L170">
    <cfRule type="cellIs" dxfId="146" priority="15" operator="equal">
      <formula>$S$61</formula>
    </cfRule>
  </conditionalFormatting>
  <conditionalFormatting sqref="I179:L183">
    <cfRule type="cellIs" dxfId="145" priority="12" operator="equal">
      <formula>$S$60</formula>
    </cfRule>
    <cfRule type="cellIs" dxfId="144" priority="13" operator="equal">
      <formula>$S$59</formula>
    </cfRule>
    <cfRule type="cellIs" dxfId="143" priority="14" operator="equal">
      <formula>$S$58</formula>
    </cfRule>
  </conditionalFormatting>
  <conditionalFormatting sqref="I179:L183">
    <cfRule type="cellIs" dxfId="142" priority="11" operator="equal">
      <formula>$S$61</formula>
    </cfRule>
  </conditionalFormatting>
  <conditionalFormatting sqref="I185:L189">
    <cfRule type="cellIs" dxfId="141" priority="8" operator="equal">
      <formula>$S$60</formula>
    </cfRule>
    <cfRule type="cellIs" dxfId="140" priority="9" operator="equal">
      <formula>$S$59</formula>
    </cfRule>
    <cfRule type="cellIs" dxfId="139" priority="10" operator="equal">
      <formula>$S$58</formula>
    </cfRule>
  </conditionalFormatting>
  <conditionalFormatting sqref="I185:L189">
    <cfRule type="cellIs" dxfId="138" priority="7" operator="equal">
      <formula>$S$61</formula>
    </cfRule>
  </conditionalFormatting>
  <conditionalFormatting sqref="H22:I22 H26:I26 H31:I31 H24:I24">
    <cfRule type="cellIs" dxfId="137" priority="5" operator="equal">
      <formula>$Q$24</formula>
    </cfRule>
    <cfRule type="cellIs" dxfId="136" priority="6" operator="equal">
      <formula>$Q$22</formula>
    </cfRule>
  </conditionalFormatting>
  <conditionalFormatting sqref="H46">
    <cfRule type="cellIs" dxfId="135" priority="1" operator="greaterThanOrEqual">
      <formula>100%</formula>
    </cfRule>
    <cfRule type="cellIs" dxfId="134" priority="2" operator="greaterThan">
      <formula>90.1%</formula>
    </cfRule>
    <cfRule type="cellIs" dxfId="133" priority="3" operator="between">
      <formula>75.1%</formula>
      <formula>90%</formula>
    </cfRule>
    <cfRule type="cellIs" dxfId="132" priority="4" operator="lessThanOrEqual">
      <formula>75%</formula>
    </cfRule>
  </conditionalFormatting>
  <dataValidations count="3">
    <dataValidation type="list" allowBlank="1" showInputMessage="1" showErrorMessage="1" error="Please choose from the list provided.  If your material thickness exceed 1/8&quot; consult Applications Engineering at (800) 448-6688." sqref="F7">
      <formula1>$Q$35:$Q$39</formula1>
    </dataValidation>
    <dataValidation type="list" allowBlank="1" showInputMessage="1" showErrorMessage="1" errorTitle="Please select from the list" sqref="F40:G40">
      <formula1>$AB$245:$AB$281</formula1>
    </dataValidation>
    <dataValidation type="list" allowBlank="1" showInputMessage="1" showErrorMessage="1" sqref="F29">
      <formula1>$AD$244:$AD$265</formula1>
    </dataValidation>
  </dataValidations>
  <printOptions horizontalCentered="1"/>
  <pageMargins left="0.5" right="0.5" top="1" bottom="1" header="0.5" footer="0.5"/>
  <pageSetup scale="49" fitToHeight="2" orientation="portrait" r:id="rId1"/>
  <headerFooter alignWithMargins="0">
    <oddHeader xml:space="preserve">&amp;CGarlock Sealing Technologies
1666 Division Street
Palmyra, NY  14522
(800) 448-6688&amp;"Arial Rounded MT Bold,Bold"&amp;8
</oddHeader>
    <oddFooter>&amp;A</oddFooter>
  </headerFooter>
  <rowBreaks count="2" manualBreakCount="2">
    <brk id="78" max="13" man="1"/>
    <brk id="152" max="13"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296"/>
  <sheetViews>
    <sheetView showGridLines="0" showRowColHeaders="0" zoomScale="85" zoomScaleNormal="85" workbookViewId="0">
      <pane ySplit="4" topLeftCell="A5" activePane="bottomLeft" state="frozen"/>
      <selection pane="bottomLeft" activeCell="F7" sqref="F7"/>
    </sheetView>
  </sheetViews>
  <sheetFormatPr defaultColWidth="0" defaultRowHeight="13.2" zeroHeight="1" x14ac:dyDescent="0.25"/>
  <cols>
    <col min="1" max="1" width="9" style="7" customWidth="1"/>
    <col min="2" max="2" width="24.109375" style="7" customWidth="1"/>
    <col min="3" max="3" width="15.77734375" style="7" customWidth="1"/>
    <col min="4" max="4" width="12.6640625" style="7" customWidth="1"/>
    <col min="5" max="5" width="3.6640625" style="7" customWidth="1"/>
    <col min="6" max="6" width="16.88671875" style="7" customWidth="1"/>
    <col min="7" max="7" width="15.77734375" style="7" customWidth="1"/>
    <col min="8" max="9" width="7.77734375" style="7" customWidth="1"/>
    <col min="10" max="10" width="2.6640625" style="7" customWidth="1"/>
    <col min="11" max="11" width="15.77734375" style="7" customWidth="1"/>
    <col min="12" max="12" width="15.6640625" style="7" customWidth="1"/>
    <col min="13" max="13" width="6.44140625" style="7" customWidth="1"/>
    <col min="14" max="14" width="4.5546875" style="7" customWidth="1"/>
    <col min="15" max="16384" width="9.109375" style="7" hidden="1"/>
  </cols>
  <sheetData>
    <row r="1" spans="2:18" ht="108" customHeight="1" x14ac:dyDescent="0.25"/>
    <row r="2" spans="2:18" ht="28.2" customHeight="1" x14ac:dyDescent="0.25"/>
    <row r="3" spans="2:18" ht="27" customHeight="1" x14ac:dyDescent="0.25">
      <c r="B3" s="467" t="s">
        <v>420</v>
      </c>
      <c r="C3" s="468"/>
      <c r="D3" s="468"/>
      <c r="E3" s="468"/>
      <c r="F3" s="468"/>
      <c r="G3" s="468"/>
      <c r="H3" s="468"/>
      <c r="I3" s="468"/>
      <c r="J3" s="468"/>
      <c r="K3" s="468"/>
      <c r="L3" s="469"/>
      <c r="M3" s="269"/>
    </row>
    <row r="4" spans="2:18" ht="24" customHeight="1" x14ac:dyDescent="0.25">
      <c r="C4" s="249"/>
      <c r="D4" s="250"/>
      <c r="E4" s="250"/>
      <c r="F4" s="250"/>
      <c r="G4" s="250"/>
      <c r="H4" s="250"/>
      <c r="I4" s="250"/>
      <c r="J4" s="254"/>
    </row>
    <row r="5" spans="2:18" ht="17.399999999999999" x14ac:dyDescent="0.3">
      <c r="B5" s="29"/>
      <c r="C5" s="271"/>
      <c r="D5" s="271"/>
      <c r="E5" s="271"/>
      <c r="F5" s="271" t="s">
        <v>415</v>
      </c>
      <c r="G5" s="271"/>
      <c r="H5" s="271"/>
      <c r="I5" s="271"/>
      <c r="J5" s="285"/>
      <c r="K5" s="453" t="s">
        <v>387</v>
      </c>
      <c r="L5" s="453"/>
      <c r="M5" s="453"/>
      <c r="N5" s="453"/>
    </row>
    <row r="6" spans="2:18" ht="21.6" thickBot="1" x14ac:dyDescent="0.3">
      <c r="B6" s="29"/>
      <c r="C6" s="32"/>
      <c r="D6" s="22" t="s">
        <v>320</v>
      </c>
      <c r="E6" s="9"/>
      <c r="F6" s="9"/>
      <c r="G6" s="9"/>
      <c r="H6" s="9"/>
      <c r="K6" s="236"/>
      <c r="L6" s="236"/>
      <c r="M6" s="236"/>
      <c r="N6" s="236"/>
    </row>
    <row r="7" spans="2:18" ht="18" thickBot="1" x14ac:dyDescent="0.3">
      <c r="B7" s="29"/>
      <c r="C7" s="32"/>
      <c r="D7" s="40" t="s">
        <v>344</v>
      </c>
      <c r="E7" s="63"/>
      <c r="F7" s="360"/>
      <c r="G7" s="23" t="s">
        <v>321</v>
      </c>
      <c r="H7" s="8"/>
      <c r="I7" s="236"/>
      <c r="J7" s="236"/>
    </row>
    <row r="8" spans="2:18" ht="17.25" customHeight="1" x14ac:dyDescent="0.25">
      <c r="B8" s="29"/>
      <c r="C8" s="32"/>
      <c r="D8" s="32"/>
      <c r="E8" s="32"/>
      <c r="F8" s="32"/>
      <c r="G8" s="32"/>
      <c r="H8" s="32"/>
    </row>
    <row r="9" spans="2:18" ht="21" x14ac:dyDescent="0.25">
      <c r="C9" s="11"/>
      <c r="D9" s="10" t="s">
        <v>1</v>
      </c>
      <c r="E9" s="11"/>
      <c r="F9" s="11"/>
      <c r="G9" s="2"/>
      <c r="H9" s="2"/>
    </row>
    <row r="10" spans="2:18" ht="6.9" customHeight="1" thickBot="1" x14ac:dyDescent="0.35">
      <c r="B10" s="13"/>
      <c r="C10" s="13"/>
      <c r="D10" s="13"/>
      <c r="E10" s="13"/>
      <c r="F10" s="13"/>
      <c r="G10" s="14"/>
      <c r="H10" s="2"/>
      <c r="N10" s="351"/>
    </row>
    <row r="11" spans="2:18" ht="18" thickBot="1" x14ac:dyDescent="0.35">
      <c r="C11" s="13"/>
      <c r="D11" s="118" t="s">
        <v>347</v>
      </c>
      <c r="F11" s="363"/>
      <c r="G11" s="13" t="s">
        <v>3</v>
      </c>
      <c r="H11" s="14"/>
      <c r="N11" s="351"/>
      <c r="Q11" s="49" t="s">
        <v>422</v>
      </c>
      <c r="R11" s="7">
        <f>(3.14159*(F11/2)*(F13/2))</f>
        <v>0</v>
      </c>
    </row>
    <row r="12" spans="2:18" ht="3.9" customHeight="1" thickBot="1" x14ac:dyDescent="0.35">
      <c r="C12" s="13"/>
      <c r="D12" s="15"/>
      <c r="F12" s="13"/>
      <c r="G12" s="13"/>
      <c r="H12" s="14"/>
      <c r="N12" s="351"/>
    </row>
    <row r="13" spans="2:18" ht="18" thickBot="1" x14ac:dyDescent="0.35">
      <c r="C13" s="13"/>
      <c r="D13" s="40" t="s">
        <v>348</v>
      </c>
      <c r="F13" s="363"/>
      <c r="G13" s="13" t="s">
        <v>3</v>
      </c>
      <c r="H13" s="14"/>
      <c r="N13" s="351"/>
    </row>
    <row r="14" spans="2:18" ht="3.9" customHeight="1" thickBot="1" x14ac:dyDescent="0.35">
      <c r="C14" s="13"/>
      <c r="D14" s="15"/>
      <c r="F14" s="13"/>
      <c r="G14" s="13"/>
      <c r="H14" s="14"/>
      <c r="N14" s="351"/>
    </row>
    <row r="15" spans="2:18" ht="18" thickBot="1" x14ac:dyDescent="0.35">
      <c r="C15" s="13"/>
      <c r="D15" s="40" t="s">
        <v>349</v>
      </c>
      <c r="F15" s="363"/>
      <c r="G15" s="13" t="s">
        <v>3</v>
      </c>
      <c r="H15" s="14"/>
      <c r="K15" s="352"/>
      <c r="L15" s="352"/>
      <c r="M15" s="352"/>
    </row>
    <row r="16" spans="2:18" ht="3.9" customHeight="1" thickBot="1" x14ac:dyDescent="0.35">
      <c r="C16" s="13"/>
      <c r="D16" s="15"/>
      <c r="F16" s="13"/>
      <c r="G16" s="13"/>
      <c r="H16" s="14"/>
      <c r="K16" s="353"/>
      <c r="L16" s="353"/>
      <c r="M16" s="353"/>
      <c r="N16" s="101"/>
    </row>
    <row r="17" spans="3:19" ht="18" thickBot="1" x14ac:dyDescent="0.35">
      <c r="C17" s="13"/>
      <c r="D17" s="40" t="s">
        <v>350</v>
      </c>
      <c r="F17" s="363"/>
      <c r="G17" s="13" t="s">
        <v>3</v>
      </c>
      <c r="H17" s="14"/>
      <c r="K17" s="353"/>
      <c r="L17" s="353"/>
      <c r="M17" s="353"/>
      <c r="N17" s="101"/>
    </row>
    <row r="18" spans="3:19" ht="18" customHeight="1" thickBot="1" x14ac:dyDescent="0.35">
      <c r="C18" s="13"/>
      <c r="D18" s="15"/>
      <c r="F18" s="13"/>
      <c r="G18" s="13"/>
      <c r="H18" s="14"/>
      <c r="K18" s="353"/>
      <c r="L18" s="353"/>
      <c r="M18" s="353"/>
      <c r="N18" s="101"/>
    </row>
    <row r="19" spans="3:19" ht="18" customHeight="1" thickTop="1" x14ac:dyDescent="0.25">
      <c r="C19" s="484" t="s">
        <v>417</v>
      </c>
      <c r="D19" s="485"/>
      <c r="E19" s="485"/>
      <c r="F19" s="485"/>
      <c r="G19" s="485"/>
      <c r="H19" s="485"/>
      <c r="I19" s="485"/>
      <c r="J19" s="486"/>
      <c r="K19" s="353"/>
      <c r="L19" s="353"/>
      <c r="M19" s="353"/>
      <c r="N19" s="101"/>
    </row>
    <row r="20" spans="3:19" ht="17.399999999999999" customHeight="1" x14ac:dyDescent="0.25">
      <c r="C20" s="487"/>
      <c r="D20" s="488"/>
      <c r="E20" s="488"/>
      <c r="F20" s="488"/>
      <c r="G20" s="488"/>
      <c r="H20" s="488"/>
      <c r="I20" s="488"/>
      <c r="J20" s="489"/>
      <c r="K20" s="353"/>
      <c r="L20" s="353"/>
      <c r="M20" s="353"/>
      <c r="N20" s="101"/>
    </row>
    <row r="21" spans="3:19" ht="18" customHeight="1" thickBot="1" x14ac:dyDescent="0.35">
      <c r="C21" s="260"/>
      <c r="D21" s="255"/>
      <c r="E21" s="239"/>
      <c r="F21" s="256"/>
      <c r="G21" s="256"/>
      <c r="H21" s="257"/>
      <c r="I21" s="239"/>
      <c r="J21" s="261"/>
      <c r="K21" s="353"/>
      <c r="L21" s="353"/>
      <c r="M21" s="353"/>
      <c r="N21" s="101"/>
    </row>
    <row r="22" spans="3:19" ht="18" thickBot="1" x14ac:dyDescent="0.35">
      <c r="C22" s="260"/>
      <c r="D22" s="270" t="s">
        <v>353</v>
      </c>
      <c r="E22" s="239"/>
      <c r="F22" s="363"/>
      <c r="G22" s="256" t="s">
        <v>3</v>
      </c>
      <c r="H22" s="480" t="b">
        <f>AND(F22&lt;(F11-$F$26),F22&gt;=(F15+1+$F$26))</f>
        <v>0</v>
      </c>
      <c r="I22" s="481"/>
      <c r="J22" s="262"/>
      <c r="K22" s="354"/>
      <c r="L22" s="354"/>
      <c r="M22" s="354"/>
      <c r="N22" s="101"/>
      <c r="Q22" s="7" t="b">
        <v>1</v>
      </c>
    </row>
    <row r="23" spans="3:19" ht="3.9" customHeight="1" thickBot="1" x14ac:dyDescent="0.35">
      <c r="C23" s="260"/>
      <c r="D23" s="258"/>
      <c r="E23" s="239"/>
      <c r="F23" s="256" t="s">
        <v>4</v>
      </c>
      <c r="G23" s="256"/>
      <c r="H23" s="259"/>
      <c r="I23" s="239"/>
      <c r="J23" s="261"/>
      <c r="K23" s="354"/>
      <c r="L23" s="354"/>
      <c r="M23" s="354"/>
      <c r="N23" s="101"/>
    </row>
    <row r="24" spans="3:19" ht="18" thickBot="1" x14ac:dyDescent="0.35">
      <c r="C24" s="260"/>
      <c r="D24" s="270" t="s">
        <v>354</v>
      </c>
      <c r="E24" s="239"/>
      <c r="F24" s="363"/>
      <c r="G24" s="256" t="s">
        <v>3</v>
      </c>
      <c r="H24" s="480" t="b">
        <f>AND(F24&lt;(F13-$F$26),F24&gt;=(F17+1+$F$26))</f>
        <v>0</v>
      </c>
      <c r="I24" s="481"/>
      <c r="J24" s="262"/>
      <c r="K24" s="101"/>
      <c r="L24" s="101"/>
      <c r="M24" s="101"/>
      <c r="N24" s="101"/>
      <c r="Q24" s="7" t="b">
        <v>0</v>
      </c>
      <c r="R24" s="64" t="s">
        <v>427</v>
      </c>
      <c r="S24" s="64" t="s">
        <v>428</v>
      </c>
    </row>
    <row r="25" spans="3:19" ht="3.9" customHeight="1" thickBot="1" x14ac:dyDescent="0.35">
      <c r="C25" s="260"/>
      <c r="D25" s="255"/>
      <c r="E25" s="239"/>
      <c r="F25" s="256" t="s">
        <v>4</v>
      </c>
      <c r="G25" s="256"/>
      <c r="H25" s="259"/>
      <c r="I25" s="239"/>
      <c r="J25" s="261"/>
      <c r="K25" s="229"/>
      <c r="L25" s="101"/>
      <c r="M25" s="101"/>
      <c r="N25" s="101"/>
      <c r="R25" s="64"/>
      <c r="S25" s="64"/>
    </row>
    <row r="26" spans="3:19" ht="18" thickBot="1" x14ac:dyDescent="0.35">
      <c r="C26" s="260"/>
      <c r="D26" s="270" t="s">
        <v>18</v>
      </c>
      <c r="E26" s="239"/>
      <c r="F26" s="363"/>
      <c r="G26" s="256" t="s">
        <v>3</v>
      </c>
      <c r="H26" s="480" t="b">
        <f>AND(R26=Q22,S26=Q22)</f>
        <v>0</v>
      </c>
      <c r="I26" s="481"/>
      <c r="J26" s="262"/>
      <c r="K26" s="101"/>
      <c r="L26" s="101"/>
      <c r="M26" s="101"/>
      <c r="R26" s="64" t="b">
        <f>AND(F26&lt;=((F11-(F15+1))/2),F26&lt;=((F13-(F17+1))/2))</f>
        <v>0</v>
      </c>
      <c r="S26" s="64" t="b">
        <f>F29&lt;F26</f>
        <v>0</v>
      </c>
    </row>
    <row r="27" spans="3:19" ht="7.8" customHeight="1" thickBot="1" x14ac:dyDescent="0.35">
      <c r="C27" s="263"/>
      <c r="D27" s="264"/>
      <c r="E27" s="265"/>
      <c r="F27" s="266"/>
      <c r="G27" s="266"/>
      <c r="H27" s="267"/>
      <c r="I27" s="267"/>
      <c r="J27" s="268"/>
      <c r="K27" s="101"/>
      <c r="L27" s="101"/>
      <c r="M27" s="101"/>
    </row>
    <row r="28" spans="3:19" ht="7.8" customHeight="1" thickTop="1" thickBot="1" x14ac:dyDescent="0.35">
      <c r="C28" s="13"/>
      <c r="D28" s="15"/>
      <c r="F28" s="13"/>
      <c r="G28" s="13"/>
      <c r="H28" s="14"/>
      <c r="K28" s="101"/>
      <c r="L28" s="101"/>
      <c r="M28" s="101"/>
    </row>
    <row r="29" spans="3:19" ht="18" thickBot="1" x14ac:dyDescent="0.35">
      <c r="C29" s="13"/>
      <c r="D29" s="40" t="s">
        <v>336</v>
      </c>
      <c r="F29" s="367"/>
      <c r="G29" s="13" t="s">
        <v>3</v>
      </c>
      <c r="H29" s="14"/>
      <c r="K29" s="101"/>
      <c r="L29" s="101"/>
      <c r="M29" s="101"/>
    </row>
    <row r="30" spans="3:19" ht="3.9" customHeight="1" thickBot="1" x14ac:dyDescent="0.35">
      <c r="C30" s="13"/>
      <c r="D30" s="15"/>
      <c r="F30" s="13"/>
      <c r="G30" s="13"/>
      <c r="H30" s="14"/>
      <c r="K30" s="101"/>
      <c r="L30" s="101"/>
      <c r="M30" s="101"/>
    </row>
    <row r="31" spans="3:19" ht="18" thickBot="1" x14ac:dyDescent="0.35">
      <c r="C31" s="13"/>
      <c r="D31" s="40" t="s">
        <v>338</v>
      </c>
      <c r="F31" s="363"/>
      <c r="G31" s="13"/>
      <c r="H31" s="482" t="e">
        <f>(F31&lt;((F22*2+F24*2)/F26/2))</f>
        <v>#DIV/0!</v>
      </c>
      <c r="I31" s="483"/>
      <c r="J31" s="253"/>
      <c r="K31" s="366"/>
      <c r="L31" s="101"/>
      <c r="M31" s="101"/>
    </row>
    <row r="32" spans="3:19" ht="3.9" customHeight="1" thickBot="1" x14ac:dyDescent="0.35">
      <c r="C32" s="13"/>
      <c r="D32" s="15"/>
      <c r="F32" s="13"/>
      <c r="G32" s="13"/>
      <c r="H32" s="14"/>
      <c r="K32" s="101"/>
      <c r="L32" s="101"/>
      <c r="M32" s="101"/>
    </row>
    <row r="33" spans="3:17" ht="18" thickBot="1" x14ac:dyDescent="0.35">
      <c r="C33" s="13"/>
      <c r="D33" s="20" t="s">
        <v>6</v>
      </c>
      <c r="F33" s="117">
        <f>((3.141592654*(F11/2)*(F13/2)-(3.141592654*(F15/2)*(F17/2))-(0.7853981634*(F26^2)*F31)))</f>
        <v>0</v>
      </c>
      <c r="G33" s="13" t="s">
        <v>7</v>
      </c>
      <c r="H33" s="14"/>
      <c r="K33" s="101"/>
      <c r="L33" s="101"/>
      <c r="M33" s="101"/>
    </row>
    <row r="34" spans="3:17" ht="18" customHeight="1" x14ac:dyDescent="0.3">
      <c r="C34" s="13"/>
      <c r="D34" s="15"/>
      <c r="F34" s="13"/>
      <c r="G34" s="13"/>
      <c r="H34" s="14"/>
      <c r="K34" s="101"/>
      <c r="L34" s="101"/>
      <c r="M34" s="101"/>
    </row>
    <row r="35" spans="3:17" ht="18" customHeight="1" thickBot="1" x14ac:dyDescent="0.45">
      <c r="C35" s="13"/>
      <c r="D35" s="21" t="s">
        <v>289</v>
      </c>
      <c r="E35" s="2"/>
      <c r="F35" s="2"/>
      <c r="G35" s="13"/>
      <c r="H35" s="14"/>
      <c r="K35" s="101"/>
      <c r="L35" s="101"/>
      <c r="M35" s="101"/>
    </row>
    <row r="36" spans="3:17" ht="18.75" customHeight="1" thickBot="1" x14ac:dyDescent="0.35">
      <c r="C36" s="13"/>
      <c r="D36" s="108" t="s">
        <v>341</v>
      </c>
      <c r="E36" s="2"/>
      <c r="F36" s="361"/>
      <c r="G36" s="13" t="s">
        <v>290</v>
      </c>
      <c r="H36" s="14"/>
      <c r="K36" s="101"/>
      <c r="L36" s="101"/>
      <c r="M36" s="101"/>
    </row>
    <row r="37" spans="3:17" ht="3.6" customHeight="1" thickBot="1" x14ac:dyDescent="0.35">
      <c r="C37" s="13"/>
      <c r="D37" s="108"/>
      <c r="E37" s="2"/>
      <c r="F37" s="257"/>
      <c r="G37" s="13"/>
      <c r="H37" s="14"/>
      <c r="K37" s="101"/>
      <c r="L37" s="101"/>
      <c r="M37" s="101"/>
    </row>
    <row r="38" spans="3:17" ht="18.75" customHeight="1" thickBot="1" x14ac:dyDescent="0.35">
      <c r="C38" s="13"/>
      <c r="D38" s="104" t="s">
        <v>421</v>
      </c>
      <c r="E38" s="2"/>
      <c r="F38" s="369" t="s">
        <v>423</v>
      </c>
      <c r="G38" s="13"/>
      <c r="H38" s="14"/>
      <c r="K38" s="101"/>
      <c r="L38" s="101"/>
      <c r="M38" s="101"/>
    </row>
    <row r="39" spans="3:17" ht="3.6" customHeight="1" thickBot="1" x14ac:dyDescent="0.35">
      <c r="C39" s="13"/>
      <c r="E39" s="2"/>
      <c r="F39" s="257"/>
      <c r="G39" s="13"/>
      <c r="H39" s="14"/>
      <c r="K39" s="101"/>
      <c r="L39" s="101"/>
      <c r="M39" s="101"/>
      <c r="Q39" s="7" t="s">
        <v>423</v>
      </c>
    </row>
    <row r="40" spans="3:17" ht="18.75" customHeight="1" thickBot="1" x14ac:dyDescent="0.35">
      <c r="C40" s="13"/>
      <c r="D40" s="119" t="s">
        <v>355</v>
      </c>
      <c r="E40" s="2"/>
      <c r="F40" s="368" t="b">
        <f>IF(F38="INTERNAL",(R11*F36/F33),IF(F38="EXTERNAL","0"))</f>
        <v>0</v>
      </c>
      <c r="G40" s="13" t="s">
        <v>19</v>
      </c>
      <c r="H40" s="14"/>
      <c r="K40" s="101"/>
      <c r="L40" s="101"/>
      <c r="M40" s="101"/>
      <c r="Q40" s="7" t="s">
        <v>351</v>
      </c>
    </row>
    <row r="41" spans="3:17" ht="18" customHeight="1" x14ac:dyDescent="0.3">
      <c r="C41" s="13"/>
      <c r="D41" s="15"/>
      <c r="F41" s="13"/>
      <c r="G41" s="13"/>
      <c r="H41" s="14"/>
      <c r="K41" s="101"/>
      <c r="L41" s="101"/>
      <c r="M41" s="101"/>
      <c r="Q41" s="7" t="s">
        <v>352</v>
      </c>
    </row>
    <row r="42" spans="3:17" ht="19.5" customHeight="1" x14ac:dyDescent="0.3">
      <c r="C42" s="13"/>
      <c r="D42" s="22" t="s">
        <v>81</v>
      </c>
      <c r="F42" s="13"/>
      <c r="G42" s="13"/>
      <c r="H42" s="14"/>
      <c r="K42" s="101"/>
      <c r="L42" s="101"/>
      <c r="M42" s="101"/>
    </row>
    <row r="43" spans="3:17" ht="5.25" customHeight="1" thickBot="1" x14ac:dyDescent="0.35">
      <c r="C43" s="13"/>
      <c r="D43" s="15"/>
      <c r="F43" s="13"/>
      <c r="G43" s="13"/>
      <c r="H43" s="14"/>
      <c r="I43" s="364"/>
      <c r="J43" s="364"/>
      <c r="K43" s="364"/>
      <c r="L43" s="364"/>
      <c r="M43" s="101"/>
    </row>
    <row r="44" spans="3:17" ht="18" customHeight="1" thickBot="1" x14ac:dyDescent="0.35">
      <c r="C44" s="13"/>
      <c r="D44" s="40" t="s">
        <v>337</v>
      </c>
      <c r="F44" s="436"/>
      <c r="G44" s="437"/>
      <c r="H44" s="14"/>
      <c r="I44" s="364"/>
      <c r="J44" s="364"/>
      <c r="K44" s="364"/>
      <c r="L44" s="364"/>
      <c r="M44" s="101"/>
      <c r="Q44" s="64" t="s">
        <v>322</v>
      </c>
    </row>
    <row r="45" spans="3:17" ht="3.75" customHeight="1" thickBot="1" x14ac:dyDescent="0.35">
      <c r="C45" s="13"/>
      <c r="D45" s="15"/>
      <c r="F45" s="2"/>
      <c r="G45" s="14"/>
      <c r="H45" s="14"/>
      <c r="I45" s="364"/>
      <c r="J45" s="364"/>
      <c r="K45" s="364"/>
      <c r="L45" s="364"/>
      <c r="M45" s="101"/>
      <c r="Q45" s="65">
        <v>1.5625E-2</v>
      </c>
    </row>
    <row r="46" spans="3:17" ht="18" thickBot="1" x14ac:dyDescent="0.35">
      <c r="C46" s="13"/>
      <c r="D46" s="15" t="s">
        <v>83</v>
      </c>
      <c r="F46" s="106" t="e">
        <f>LOOKUP(F29,AD259:AD280,AE259:AE280)</f>
        <v>#N/A</v>
      </c>
      <c r="G46" s="14" t="s">
        <v>19</v>
      </c>
      <c r="H46" s="14"/>
      <c r="I46" s="364"/>
      <c r="J46" s="364"/>
      <c r="K46" s="364"/>
      <c r="L46" s="364"/>
      <c r="M46" s="101"/>
      <c r="Q46" s="65">
        <v>3.125E-2</v>
      </c>
    </row>
    <row r="47" spans="3:17" ht="17.399999999999999" x14ac:dyDescent="0.3">
      <c r="C47" s="13"/>
      <c r="D47" s="15"/>
      <c r="F47" s="13"/>
      <c r="G47" s="13"/>
      <c r="H47" s="14"/>
      <c r="I47" s="364"/>
      <c r="J47" s="364"/>
      <c r="K47" s="364"/>
      <c r="L47" s="364"/>
      <c r="M47" s="101"/>
      <c r="Q47" s="65">
        <v>6.2E-2</v>
      </c>
    </row>
    <row r="48" spans="3:17" ht="21" x14ac:dyDescent="0.3">
      <c r="C48" s="13"/>
      <c r="D48" s="22" t="s">
        <v>8</v>
      </c>
      <c r="F48" s="13"/>
      <c r="G48" s="13"/>
      <c r="H48" s="14"/>
      <c r="I48" s="364"/>
      <c r="J48" s="364"/>
      <c r="K48" s="364"/>
      <c r="L48" s="364"/>
      <c r="M48" s="101"/>
      <c r="Q48" s="65" t="s">
        <v>438</v>
      </c>
    </row>
    <row r="49" spans="2:27" ht="6.9" customHeight="1" thickBot="1" x14ac:dyDescent="0.35">
      <c r="C49" s="13"/>
      <c r="D49" s="15"/>
      <c r="F49" s="13"/>
      <c r="G49" s="13"/>
      <c r="H49" s="14"/>
      <c r="I49" s="364"/>
      <c r="J49" s="364"/>
      <c r="K49" s="364"/>
      <c r="L49" s="364"/>
      <c r="M49" s="101"/>
      <c r="Q49" s="65">
        <v>0.125</v>
      </c>
    </row>
    <row r="50" spans="2:27" ht="18" thickBot="1" x14ac:dyDescent="0.35">
      <c r="C50" s="2"/>
      <c r="D50" s="108" t="s">
        <v>342</v>
      </c>
      <c r="F50" s="365"/>
      <c r="G50" s="14" t="s">
        <v>19</v>
      </c>
      <c r="H50" s="276" t="e">
        <f>(F50/F46)</f>
        <v>#N/A</v>
      </c>
      <c r="I50" s="448" t="s">
        <v>429</v>
      </c>
      <c r="J50" s="448"/>
      <c r="K50" s="448"/>
      <c r="L50" s="364"/>
    </row>
    <row r="51" spans="2:27" ht="3.9" customHeight="1" thickBot="1" x14ac:dyDescent="0.3">
      <c r="C51" s="2"/>
      <c r="D51" s="18"/>
      <c r="F51" s="2"/>
      <c r="G51" s="2"/>
      <c r="H51" s="277"/>
      <c r="I51" s="356"/>
      <c r="J51" s="356"/>
      <c r="K51" s="278"/>
      <c r="L51" s="364"/>
    </row>
    <row r="52" spans="2:27" ht="18" thickBot="1" x14ac:dyDescent="0.3">
      <c r="C52" s="13"/>
      <c r="D52" s="15" t="s">
        <v>10</v>
      </c>
      <c r="F52" s="111" t="e">
        <f>(LOOKUP(F29,'BOLT TABLE'!B9:B30,'BOLT TABLE'!C9:C30)*F50)</f>
        <v>#N/A</v>
      </c>
      <c r="G52" s="23" t="s">
        <v>11</v>
      </c>
      <c r="H52" s="279" t="e">
        <f>VLOOKUP(F29,'BOLT TABLE'!$B$9:$D$30,3)</f>
        <v>#N/A</v>
      </c>
      <c r="I52" s="277" t="s">
        <v>431</v>
      </c>
      <c r="J52" s="356"/>
      <c r="K52" s="278"/>
      <c r="L52" s="364"/>
    </row>
    <row r="53" spans="2:27" ht="3.9" customHeight="1" thickBot="1" x14ac:dyDescent="0.35">
      <c r="C53" s="13"/>
      <c r="D53" s="15"/>
      <c r="F53" s="13"/>
      <c r="G53" s="13"/>
      <c r="H53" s="14"/>
      <c r="I53" s="364"/>
      <c r="J53" s="364"/>
      <c r="K53" s="364"/>
      <c r="L53" s="364"/>
    </row>
    <row r="54" spans="2:27" ht="18" thickBot="1" x14ac:dyDescent="0.3">
      <c r="C54" s="13"/>
      <c r="D54" s="15" t="s">
        <v>12</v>
      </c>
      <c r="F54" s="110">
        <f>(F31)</f>
        <v>0</v>
      </c>
      <c r="G54" s="13"/>
      <c r="H54" s="363"/>
      <c r="I54" s="290" t="s">
        <v>448</v>
      </c>
      <c r="O54" s="280" t="e">
        <f>IF(H54=0,H52,IF(H54&gt;0,H54))</f>
        <v>#N/A</v>
      </c>
      <c r="P54" s="126" t="s">
        <v>432</v>
      </c>
    </row>
    <row r="55" spans="2:27" ht="3.9" customHeight="1" thickBot="1" x14ac:dyDescent="0.3">
      <c r="C55" s="13"/>
      <c r="D55" s="15"/>
      <c r="F55" s="13"/>
      <c r="G55" s="13"/>
      <c r="H55" s="13"/>
    </row>
    <row r="56" spans="2:27" ht="18" thickBot="1" x14ac:dyDescent="0.3">
      <c r="C56" s="13"/>
      <c r="D56" s="15" t="s">
        <v>1</v>
      </c>
      <c r="F56" s="117">
        <f>(F33)</f>
        <v>0</v>
      </c>
      <c r="G56" s="13" t="s">
        <v>13</v>
      </c>
      <c r="H56" s="13"/>
    </row>
    <row r="57" spans="2:27" ht="3.9" customHeight="1" thickBot="1" x14ac:dyDescent="0.3">
      <c r="C57" s="13"/>
      <c r="D57" s="15"/>
      <c r="F57" s="13"/>
      <c r="G57" s="13"/>
      <c r="H57" s="13"/>
      <c r="AA57" s="7" t="s">
        <v>80</v>
      </c>
    </row>
    <row r="58" spans="2:27" ht="18" thickBot="1" x14ac:dyDescent="0.3">
      <c r="C58" s="13"/>
      <c r="D58" s="20" t="s">
        <v>14</v>
      </c>
      <c r="F58" s="111" t="e">
        <f>(F52*F54/F56)+F40</f>
        <v>#N/A</v>
      </c>
      <c r="G58" s="23" t="s">
        <v>430</v>
      </c>
      <c r="H58" s="13"/>
    </row>
    <row r="59" spans="2:27" ht="3.9" customHeight="1" thickBot="1" x14ac:dyDescent="0.3">
      <c r="C59" s="2"/>
      <c r="D59" s="18"/>
      <c r="F59" s="2"/>
      <c r="G59" s="2"/>
      <c r="H59" s="2"/>
    </row>
    <row r="60" spans="2:27" ht="18" thickBot="1" x14ac:dyDescent="0.35">
      <c r="C60" s="14"/>
      <c r="D60" s="24" t="s">
        <v>15</v>
      </c>
      <c r="F60" s="106" t="e">
        <f>(O54*F29*F52/12)</f>
        <v>#N/A</v>
      </c>
      <c r="G60" s="289" t="s">
        <v>16</v>
      </c>
      <c r="H60" s="14"/>
    </row>
    <row r="61" spans="2:27" ht="13.8" thickBot="1" x14ac:dyDescent="0.3">
      <c r="B61" s="2"/>
      <c r="C61" s="2"/>
      <c r="D61" s="2"/>
      <c r="E61" s="2"/>
      <c r="F61" s="2"/>
      <c r="G61" s="2"/>
      <c r="H61" s="2"/>
    </row>
    <row r="62" spans="2:27" ht="13.8" thickTop="1" x14ac:dyDescent="0.25">
      <c r="B62" s="454" t="s">
        <v>402</v>
      </c>
      <c r="C62" s="455"/>
      <c r="D62" s="455"/>
      <c r="E62" s="455"/>
      <c r="F62" s="455"/>
      <c r="G62" s="455"/>
      <c r="H62" s="455"/>
      <c r="I62" s="455"/>
      <c r="J62" s="455"/>
      <c r="K62" s="455"/>
      <c r="L62" s="455"/>
      <c r="M62" s="456"/>
      <c r="S62" s="126" t="s">
        <v>388</v>
      </c>
    </row>
    <row r="63" spans="2:27" ht="13.8" customHeight="1" x14ac:dyDescent="0.25">
      <c r="B63" s="457"/>
      <c r="C63" s="458"/>
      <c r="D63" s="458"/>
      <c r="E63" s="458"/>
      <c r="F63" s="458"/>
      <c r="G63" s="458"/>
      <c r="H63" s="458"/>
      <c r="I63" s="458"/>
      <c r="J63" s="458"/>
      <c r="K63" s="458"/>
      <c r="L63" s="458"/>
      <c r="M63" s="459"/>
      <c r="S63" s="126" t="s">
        <v>397</v>
      </c>
    </row>
    <row r="64" spans="2:27" ht="13.2" customHeight="1" thickBot="1" x14ac:dyDescent="0.3">
      <c r="B64" s="460"/>
      <c r="C64" s="461"/>
      <c r="D64" s="461"/>
      <c r="E64" s="461"/>
      <c r="F64" s="461"/>
      <c r="G64" s="461"/>
      <c r="H64" s="461"/>
      <c r="I64" s="461"/>
      <c r="J64" s="461"/>
      <c r="K64" s="461"/>
      <c r="L64" s="461"/>
      <c r="M64" s="462"/>
      <c r="S64" s="126" t="s">
        <v>398</v>
      </c>
    </row>
    <row r="65" spans="2:22" ht="13.8" customHeight="1" thickTop="1" x14ac:dyDescent="0.3">
      <c r="B65" s="83"/>
      <c r="C65" s="33"/>
      <c r="D65" s="33"/>
      <c r="E65" s="82"/>
      <c r="F65" s="83"/>
      <c r="G65" s="83"/>
      <c r="H65" s="82"/>
      <c r="I65" s="82"/>
      <c r="J65" s="82"/>
      <c r="K65" s="82"/>
      <c r="L65" s="82"/>
      <c r="M65" s="82"/>
      <c r="S65" s="126" t="s">
        <v>399</v>
      </c>
    </row>
    <row r="66" spans="2:22" ht="18.75" customHeight="1" thickBot="1" x14ac:dyDescent="0.35">
      <c r="B66" s="25"/>
      <c r="C66" s="2"/>
      <c r="D66" s="2"/>
      <c r="E66" s="14"/>
      <c r="F66" s="2"/>
      <c r="G66" s="2"/>
      <c r="H66" s="2"/>
      <c r="I66" s="2"/>
      <c r="J66" s="2"/>
    </row>
    <row r="67" spans="2:22" ht="45" customHeight="1" thickTop="1" x14ac:dyDescent="0.25">
      <c r="B67" s="441" t="s">
        <v>445</v>
      </c>
      <c r="C67" s="478"/>
      <c r="D67" s="478"/>
      <c r="E67" s="478"/>
      <c r="F67" s="478"/>
      <c r="G67" s="478"/>
      <c r="H67" s="478"/>
      <c r="I67" s="478"/>
      <c r="J67" s="478"/>
      <c r="K67" s="478"/>
      <c r="L67" s="478"/>
      <c r="M67" s="479"/>
      <c r="N67" s="170"/>
      <c r="O67" s="167"/>
      <c r="S67" s="65">
        <v>1.5625E-2</v>
      </c>
      <c r="T67" s="7">
        <f>IF($F$36&lt;=300,2500,IF($F$36&lt;=800,4800,IF($F$36&lt;=2000,7400)))</f>
        <v>2500</v>
      </c>
      <c r="U67" s="128">
        <f>+IF($F$11&lt;24,T67,T67+$T$30)</f>
        <v>2500</v>
      </c>
      <c r="V67" s="7" t="s">
        <v>326</v>
      </c>
    </row>
    <row r="68" spans="2:22" ht="18.75" customHeight="1" thickBot="1" x14ac:dyDescent="0.3">
      <c r="B68" s="443" t="str">
        <f>IF($F$36&gt;1200,"MOST STYLES ARE NOT RECOMMENDED FOR THE GIVEN PRESSURE"," ")</f>
        <v xml:space="preserve"> </v>
      </c>
      <c r="C68" s="444"/>
      <c r="D68" s="444"/>
      <c r="E68" s="444"/>
      <c r="F68" s="444"/>
      <c r="G68" s="444"/>
      <c r="H68" s="444" t="str">
        <f>IF($F$7=$Q$48,"THICKNESS APPLIES TO GYLON EPIX ONLY"," ")</f>
        <v xml:space="preserve"> </v>
      </c>
      <c r="I68" s="444"/>
      <c r="J68" s="444"/>
      <c r="K68" s="444"/>
      <c r="L68" s="444"/>
      <c r="M68" s="449"/>
      <c r="N68" s="171"/>
      <c r="O68" s="164"/>
      <c r="S68" s="65">
        <v>3.125E-2</v>
      </c>
      <c r="T68" s="7">
        <f>IF($F$36&lt;=300,2500,IF($F$36&lt;=800,4800,IF($F$36&lt;=2000,7400)))</f>
        <v>2500</v>
      </c>
      <c r="U68" s="128">
        <f>+IF($F$11&lt;24,T68,T68+$T$30)</f>
        <v>2500</v>
      </c>
    </row>
    <row r="69" spans="2:22" ht="18.75" customHeight="1" thickBot="1" x14ac:dyDescent="0.35">
      <c r="B69" s="1"/>
      <c r="C69" s="2"/>
      <c r="D69" s="17" t="s">
        <v>319</v>
      </c>
      <c r="E69" s="2"/>
      <c r="F69" s="228">
        <f>($F$7)</f>
        <v>0</v>
      </c>
      <c r="G69" s="14" t="s">
        <v>321</v>
      </c>
      <c r="H69" s="38"/>
      <c r="I69" s="445" t="s">
        <v>396</v>
      </c>
      <c r="J69" s="445"/>
      <c r="K69" s="445"/>
      <c r="L69" s="445"/>
      <c r="M69" s="217"/>
      <c r="N69" s="173"/>
      <c r="O69" s="38"/>
      <c r="S69" s="65">
        <v>6.2E-2</v>
      </c>
      <c r="T69" s="7">
        <f>IF($F$36&lt;=300,3600,IF($F$36&lt;=800,5400,IF($F$36&lt;=2000,8400)))</f>
        <v>3600</v>
      </c>
      <c r="U69" s="128">
        <f>+IF($F$11&lt;24,T69,T69+$T$30)</f>
        <v>3600</v>
      </c>
    </row>
    <row r="70" spans="2:22" ht="19.2" customHeight="1" thickBot="1" x14ac:dyDescent="0.35">
      <c r="B70" s="50"/>
      <c r="C70" s="227"/>
      <c r="D70" s="14"/>
      <c r="E70" s="2"/>
      <c r="F70" s="57"/>
      <c r="G70" s="14"/>
      <c r="H70" s="227"/>
      <c r="I70" s="227"/>
      <c r="J70" s="227"/>
      <c r="K70" s="46"/>
      <c r="L70" s="181"/>
      <c r="M70" s="180"/>
      <c r="N70" s="173"/>
      <c r="O70" s="46"/>
      <c r="S70" s="65">
        <v>0.125</v>
      </c>
      <c r="T70" s="7">
        <f>IF($F$36&lt;=300,4800,IF($F$36&lt;=800,6400,IF($F$36&lt;=2000,9400)))</f>
        <v>4800</v>
      </c>
      <c r="U70" s="128">
        <f>+IF($F$11&lt;24,T70,T70+$T$30)</f>
        <v>4800</v>
      </c>
    </row>
    <row r="71" spans="2:22" ht="18.75" customHeight="1" thickBot="1" x14ac:dyDescent="0.3">
      <c r="B71" s="440" t="s">
        <v>389</v>
      </c>
      <c r="C71" s="187"/>
      <c r="D71" s="188" t="s">
        <v>390</v>
      </c>
      <c r="E71" s="189"/>
      <c r="F71" s="224" t="e">
        <f>LOOKUP(F69,S67:S71,U67:U71)</f>
        <v>#N/A</v>
      </c>
      <c r="G71" s="210" t="s">
        <v>19</v>
      </c>
      <c r="H71" s="220"/>
      <c r="I71" s="431" t="e">
        <f>IF(U75&lt;=0.75,$S$62,IF(U75&lt;=0.9,$S$63,IF(U75&lt;1,$S$64,IF(U75&gt;=1,$S$65))))</f>
        <v>#N/A</v>
      </c>
      <c r="J71" s="431"/>
      <c r="K71" s="431"/>
      <c r="L71" s="431"/>
      <c r="M71" s="221"/>
      <c r="N71" s="173"/>
      <c r="O71" s="46"/>
      <c r="S71" s="7" t="s">
        <v>438</v>
      </c>
      <c r="T71" s="7">
        <f>IF($F$36&lt;=300,3600,IF($F$36&lt;=800,5400,IF($F$36&lt;=2000,8400)))</f>
        <v>3600</v>
      </c>
      <c r="U71" s="128">
        <f>+IF($F$11&lt;24,T71,T71+$T$30)</f>
        <v>3600</v>
      </c>
    </row>
    <row r="72" spans="2:22" ht="3.75" customHeight="1" thickBot="1" x14ac:dyDescent="0.35">
      <c r="B72" s="440"/>
      <c r="C72" s="190"/>
      <c r="D72" s="191"/>
      <c r="E72" s="192"/>
      <c r="F72" s="193"/>
      <c r="G72" s="191"/>
      <c r="H72" s="190"/>
      <c r="I72" s="431"/>
      <c r="J72" s="431"/>
      <c r="K72" s="431"/>
      <c r="L72" s="431"/>
      <c r="M72" s="221"/>
      <c r="N72" s="173"/>
      <c r="O72" s="39"/>
      <c r="S72" s="7">
        <f>IF($F$26&lt;301,2500,IF($F$26&lt;801,4800,IF($F$26&lt;2001,7400,IF($F$26&gt;2000,$S$11))))</f>
        <v>2500</v>
      </c>
      <c r="T72" s="7">
        <f>IF($F$26&lt;301,3600,IF($F$26&lt;801,5400,IF($F$26&lt;2001,8400,IF($F$26&gt;2000,$S$11))))</f>
        <v>3600</v>
      </c>
      <c r="U72" s="7">
        <f>IF($F$26&lt;301,4800,IF($F$26&lt;801,6400,IF($F$26&lt;2001,9400,IF($F$26&gt;2000,$S$11))))</f>
        <v>4800</v>
      </c>
    </row>
    <row r="73" spans="2:22" ht="18.75" customHeight="1" thickBot="1" x14ac:dyDescent="0.35">
      <c r="B73" s="440"/>
      <c r="C73" s="190"/>
      <c r="D73" s="194" t="s">
        <v>391</v>
      </c>
      <c r="E73" s="195"/>
      <c r="F73" s="225" t="e">
        <f>(F71*$F$60/$F$58)</f>
        <v>#N/A</v>
      </c>
      <c r="G73" s="211" t="s">
        <v>16</v>
      </c>
      <c r="H73" s="190"/>
      <c r="I73" s="431"/>
      <c r="J73" s="431"/>
      <c r="K73" s="431"/>
      <c r="L73" s="431"/>
      <c r="M73" s="221"/>
      <c r="N73" s="173"/>
      <c r="O73" s="39"/>
    </row>
    <row r="74" spans="2:22" ht="3.75" customHeight="1" thickBot="1" x14ac:dyDescent="0.35">
      <c r="B74" s="440"/>
      <c r="C74" s="196"/>
      <c r="D74" s="197"/>
      <c r="E74" s="192"/>
      <c r="F74" s="193"/>
      <c r="G74" s="212"/>
      <c r="H74" s="196"/>
      <c r="I74" s="431"/>
      <c r="J74" s="431"/>
      <c r="K74" s="431"/>
      <c r="L74" s="431"/>
      <c r="M74" s="221"/>
      <c r="N74" s="173"/>
      <c r="O74" s="94"/>
    </row>
    <row r="75" spans="2:22" ht="18.75" customHeight="1" thickBot="1" x14ac:dyDescent="0.35">
      <c r="B75" s="440"/>
      <c r="C75" s="196"/>
      <c r="D75" s="197" t="s">
        <v>392</v>
      </c>
      <c r="E75" s="192"/>
      <c r="F75" s="225" t="e">
        <f>(F71*$F$50/$F$58)</f>
        <v>#N/A</v>
      </c>
      <c r="G75" s="213" t="s">
        <v>19</v>
      </c>
      <c r="H75" s="196"/>
      <c r="I75" s="431"/>
      <c r="J75" s="431"/>
      <c r="K75" s="431"/>
      <c r="L75" s="431"/>
      <c r="M75" s="221"/>
      <c r="N75" s="173"/>
      <c r="O75" s="94"/>
      <c r="S75" s="206" t="s">
        <v>394</v>
      </c>
      <c r="T75" s="207"/>
      <c r="U75" s="208" t="e">
        <f>F75/$F$46</f>
        <v>#N/A</v>
      </c>
    </row>
    <row r="76" spans="2:22" ht="18" customHeight="1" thickBot="1" x14ac:dyDescent="0.3">
      <c r="B76" s="1"/>
      <c r="C76" s="11"/>
      <c r="D76" s="95"/>
      <c r="E76" s="94"/>
      <c r="F76" s="96"/>
      <c r="G76" s="97"/>
      <c r="H76" s="84"/>
      <c r="I76" s="84"/>
      <c r="J76" s="84"/>
      <c r="K76" s="84"/>
      <c r="L76" s="181"/>
      <c r="M76" s="180"/>
      <c r="N76" s="173"/>
      <c r="O76" s="84"/>
    </row>
    <row r="77" spans="2:22" ht="18.75" customHeight="1" thickBot="1" x14ac:dyDescent="0.3">
      <c r="B77" s="440" t="s">
        <v>393</v>
      </c>
      <c r="C77" s="198"/>
      <c r="D77" s="199" t="s">
        <v>390</v>
      </c>
      <c r="E77" s="196"/>
      <c r="F77" s="226">
        <v>15000</v>
      </c>
      <c r="G77" s="214" t="s">
        <v>19</v>
      </c>
      <c r="H77" s="220"/>
      <c r="I77" s="431" t="e">
        <f>IF(U81&lt;=0.75,$S$62,IF(U81&lt;=0.9,$S$63,IF(U81&lt;1,$S$64,IF(U81&gt;=1,$S$65))))</f>
        <v>#N/A</v>
      </c>
      <c r="J77" s="431"/>
      <c r="K77" s="431"/>
      <c r="L77" s="431"/>
      <c r="M77" s="221"/>
      <c r="N77" s="174"/>
      <c r="O77" s="84"/>
    </row>
    <row r="78" spans="2:22" ht="3.75" customHeight="1" thickBot="1" x14ac:dyDescent="0.3">
      <c r="B78" s="440"/>
      <c r="C78" s="198"/>
      <c r="D78" s="188"/>
      <c r="E78" s="201"/>
      <c r="F78" s="202"/>
      <c r="G78" s="215"/>
      <c r="H78" s="220"/>
      <c r="I78" s="431"/>
      <c r="J78" s="431"/>
      <c r="K78" s="431"/>
      <c r="L78" s="431"/>
      <c r="M78" s="221"/>
      <c r="N78" s="174"/>
      <c r="O78" s="84"/>
    </row>
    <row r="79" spans="2:22" ht="18.75" customHeight="1" thickBot="1" x14ac:dyDescent="0.35">
      <c r="B79" s="440"/>
      <c r="C79" s="198"/>
      <c r="D79" s="188" t="s">
        <v>391</v>
      </c>
      <c r="E79" s="198"/>
      <c r="F79" s="225" t="e">
        <f>(F77*$F$60/$F$58)</f>
        <v>#N/A</v>
      </c>
      <c r="G79" s="210" t="s">
        <v>16</v>
      </c>
      <c r="H79" s="222"/>
      <c r="I79" s="431"/>
      <c r="J79" s="431"/>
      <c r="K79" s="431"/>
      <c r="L79" s="431"/>
      <c r="M79" s="221"/>
      <c r="N79" s="174"/>
      <c r="O79" s="84"/>
    </row>
    <row r="80" spans="2:22" ht="3.75" customHeight="1" thickBot="1" x14ac:dyDescent="0.3">
      <c r="B80" s="440"/>
      <c r="C80" s="201"/>
      <c r="D80" s="203"/>
      <c r="E80" s="198"/>
      <c r="F80" s="204"/>
      <c r="G80" s="216"/>
      <c r="H80" s="223"/>
      <c r="I80" s="431"/>
      <c r="J80" s="431"/>
      <c r="K80" s="431"/>
      <c r="L80" s="431"/>
      <c r="M80" s="221"/>
      <c r="N80" s="175"/>
      <c r="O80" s="84"/>
    </row>
    <row r="81" spans="2:22" ht="18.75" customHeight="1" thickBot="1" x14ac:dyDescent="0.35">
      <c r="B81" s="440"/>
      <c r="C81" s="205"/>
      <c r="D81" s="188" t="s">
        <v>392</v>
      </c>
      <c r="E81" s="198"/>
      <c r="F81" s="225" t="e">
        <f>(F77*$F$50/$F$58)</f>
        <v>#N/A</v>
      </c>
      <c r="G81" s="213" t="s">
        <v>19</v>
      </c>
      <c r="H81" s="223"/>
      <c r="I81" s="431"/>
      <c r="J81" s="431"/>
      <c r="K81" s="431"/>
      <c r="L81" s="431"/>
      <c r="M81" s="221"/>
      <c r="N81" s="175"/>
      <c r="O81" s="84"/>
      <c r="S81" s="206" t="s">
        <v>395</v>
      </c>
      <c r="T81" s="207"/>
      <c r="U81" s="208" t="e">
        <f>F81/$F$46</f>
        <v>#N/A</v>
      </c>
    </row>
    <row r="82" spans="2:22" ht="3.75" customHeight="1" thickBot="1" x14ac:dyDescent="0.3">
      <c r="B82" s="59"/>
      <c r="C82" s="60"/>
      <c r="D82" s="61"/>
      <c r="E82" s="60"/>
      <c r="F82" s="62"/>
      <c r="G82" s="60"/>
      <c r="H82" s="184"/>
      <c r="I82" s="184"/>
      <c r="J82" s="184"/>
      <c r="K82" s="184"/>
      <c r="L82" s="185"/>
      <c r="M82" s="186"/>
      <c r="N82" s="171"/>
      <c r="O82" s="164"/>
    </row>
    <row r="83" spans="2:22" ht="18.75" customHeight="1" thickTop="1" thickBot="1" x14ac:dyDescent="0.3">
      <c r="B83" s="38"/>
      <c r="C83" s="44"/>
      <c r="D83" s="48"/>
      <c r="E83" s="44"/>
      <c r="F83" s="44"/>
      <c r="G83" s="45"/>
      <c r="H83" s="38"/>
      <c r="I83" s="38"/>
      <c r="J83" s="38"/>
      <c r="K83" s="38"/>
      <c r="L83" s="176"/>
      <c r="M83" s="176"/>
      <c r="N83" s="176"/>
      <c r="O83" s="38"/>
    </row>
    <row r="84" spans="2:22" ht="36" customHeight="1" thickTop="1" x14ac:dyDescent="0.25">
      <c r="B84" s="477" t="s">
        <v>403</v>
      </c>
      <c r="C84" s="478"/>
      <c r="D84" s="478"/>
      <c r="E84" s="478"/>
      <c r="F84" s="478"/>
      <c r="G84" s="478"/>
      <c r="H84" s="478"/>
      <c r="I84" s="478"/>
      <c r="J84" s="478"/>
      <c r="K84" s="478"/>
      <c r="L84" s="478"/>
      <c r="M84" s="479"/>
      <c r="N84" s="170"/>
      <c r="O84" s="167"/>
      <c r="S84" s="65">
        <v>1.5625E-2</v>
      </c>
      <c r="T84" s="7">
        <f>IF($F$36&lt;=300,2500,IF($F$36&lt;=800,4800,IF($F$36&lt;=2000,7400)))</f>
        <v>2500</v>
      </c>
      <c r="U84" s="128">
        <f>+IF($F$11&lt;24,T84,T84+$T$30)</f>
        <v>2500</v>
      </c>
      <c r="V84" s="7" t="s">
        <v>326</v>
      </c>
    </row>
    <row r="85" spans="2:22" ht="18.75" customHeight="1" thickBot="1" x14ac:dyDescent="0.3">
      <c r="B85" s="443" t="str">
        <f>IF($F$36&gt;500,"NOT RECOMMENDED FOR THE GIVEN PRESSURE"," ")</f>
        <v xml:space="preserve"> </v>
      </c>
      <c r="C85" s="444"/>
      <c r="D85" s="444"/>
      <c r="E85" s="444"/>
      <c r="F85" s="444"/>
      <c r="G85" s="444"/>
      <c r="H85" s="444" t="str">
        <f>IF($F$7=$Q$48,"THICKNESS APPLIES TO GYLON EPIX ONLY"," ")</f>
        <v xml:space="preserve"> </v>
      </c>
      <c r="I85" s="444"/>
      <c r="J85" s="444"/>
      <c r="K85" s="444"/>
      <c r="L85" s="444"/>
      <c r="M85" s="449"/>
      <c r="N85" s="171"/>
      <c r="O85" s="164"/>
      <c r="S85" s="65">
        <v>3.125E-2</v>
      </c>
      <c r="T85" s="7">
        <f>IF($F$36&lt;=300,2500,IF($F$36&lt;=800,4800,IF($F$36&lt;=2000,7400)))</f>
        <v>2500</v>
      </c>
      <c r="U85" s="128">
        <f>+IF($F$11&lt;24,T85,T85+$T$30)</f>
        <v>2500</v>
      </c>
    </row>
    <row r="86" spans="2:22" ht="18.75" customHeight="1" thickBot="1" x14ac:dyDescent="0.35">
      <c r="B86" s="1"/>
      <c r="C86" s="2"/>
      <c r="D86" s="17" t="s">
        <v>319</v>
      </c>
      <c r="E86" s="2"/>
      <c r="F86" s="228">
        <f>($F$7)</f>
        <v>0</v>
      </c>
      <c r="G86" s="14" t="s">
        <v>321</v>
      </c>
      <c r="H86" s="38"/>
      <c r="I86" s="445" t="s">
        <v>396</v>
      </c>
      <c r="J86" s="445"/>
      <c r="K86" s="445"/>
      <c r="L86" s="445"/>
      <c r="M86" s="217"/>
      <c r="N86" s="173"/>
      <c r="O86" s="38"/>
      <c r="S86" s="65">
        <v>6.2E-2</v>
      </c>
      <c r="T86" s="7">
        <f>IF($F$36&lt;=300,3600,IF($F$36&lt;=800,5400,IF($F$36&lt;=2000,8400)))</f>
        <v>3600</v>
      </c>
      <c r="U86" s="128">
        <f>+IF($F$11&lt;24,T86,T86+$T$30)</f>
        <v>3600</v>
      </c>
    </row>
    <row r="87" spans="2:22" ht="19.2" customHeight="1" thickBot="1" x14ac:dyDescent="0.35">
      <c r="B87" s="50"/>
      <c r="C87" s="227"/>
      <c r="D87" s="14"/>
      <c r="E87" s="2"/>
      <c r="F87" s="57"/>
      <c r="G87" s="14"/>
      <c r="H87" s="227"/>
      <c r="I87" s="227"/>
      <c r="J87" s="227"/>
      <c r="K87" s="46"/>
      <c r="L87" s="181"/>
      <c r="M87" s="180"/>
      <c r="N87" s="173"/>
      <c r="O87" s="46"/>
      <c r="S87" s="65">
        <v>0.125</v>
      </c>
      <c r="T87" s="7">
        <f>IF($F$36&lt;=300,4800,IF($F$36&lt;=800,6400,IF($F$36&lt;=2000,9400)))</f>
        <v>4800</v>
      </c>
      <c r="U87" s="128">
        <f>+IF($F$11&lt;24,T87,T87+$T$30)</f>
        <v>4800</v>
      </c>
    </row>
    <row r="88" spans="2:22" ht="18.75" customHeight="1" thickBot="1" x14ac:dyDescent="0.3">
      <c r="B88" s="440" t="s">
        <v>389</v>
      </c>
      <c r="C88" s="187"/>
      <c r="D88" s="188" t="s">
        <v>390</v>
      </c>
      <c r="E88" s="189"/>
      <c r="F88" s="224" t="e">
        <f>LOOKUP(F86,S84:S87,U84:U87)</f>
        <v>#N/A</v>
      </c>
      <c r="G88" s="210" t="s">
        <v>19</v>
      </c>
      <c r="H88" s="220"/>
      <c r="I88" s="431" t="e">
        <f>IF(U92&lt;=0.75,$S$62,IF(U92&lt;=0.9,$S$63,IF(U92&lt;1,$S$64,IF(U92&gt;=1,$S$65))))</f>
        <v>#N/A</v>
      </c>
      <c r="J88" s="431"/>
      <c r="K88" s="431"/>
      <c r="L88" s="431"/>
      <c r="M88" s="221"/>
      <c r="N88" s="173"/>
      <c r="O88" s="46"/>
    </row>
    <row r="89" spans="2:22" ht="3.75" customHeight="1" thickBot="1" x14ac:dyDescent="0.35">
      <c r="B89" s="440"/>
      <c r="C89" s="190"/>
      <c r="D89" s="191"/>
      <c r="E89" s="192"/>
      <c r="F89" s="193"/>
      <c r="G89" s="191"/>
      <c r="H89" s="190"/>
      <c r="I89" s="431"/>
      <c r="J89" s="431"/>
      <c r="K89" s="431"/>
      <c r="L89" s="431"/>
      <c r="M89" s="221"/>
      <c r="N89" s="173"/>
      <c r="O89" s="39"/>
      <c r="S89" s="7">
        <f>IF($F$26&lt;301,2500,IF($F$26&lt;801,4800,IF($F$26&lt;2001,7400,IF($F$26&gt;2000,$S$11))))</f>
        <v>2500</v>
      </c>
      <c r="T89" s="7">
        <f>IF($F$26&lt;301,3600,IF($F$26&lt;801,5400,IF($F$26&lt;2001,8400,IF($F$26&gt;2000,$S$11))))</f>
        <v>3600</v>
      </c>
    </row>
    <row r="90" spans="2:22" ht="18.75" customHeight="1" thickBot="1" x14ac:dyDescent="0.35">
      <c r="B90" s="440"/>
      <c r="C90" s="190"/>
      <c r="D90" s="194" t="s">
        <v>391</v>
      </c>
      <c r="E90" s="195"/>
      <c r="F90" s="225" t="e">
        <f>(F88*$F$60/$F$58)</f>
        <v>#N/A</v>
      </c>
      <c r="G90" s="211" t="s">
        <v>16</v>
      </c>
      <c r="H90" s="190"/>
      <c r="I90" s="431"/>
      <c r="J90" s="431"/>
      <c r="K90" s="431"/>
      <c r="L90" s="431"/>
      <c r="M90" s="221"/>
      <c r="N90" s="173"/>
      <c r="O90" s="39"/>
    </row>
    <row r="91" spans="2:22" ht="3.75" customHeight="1" thickBot="1" x14ac:dyDescent="0.35">
      <c r="B91" s="440"/>
      <c r="C91" s="196"/>
      <c r="D91" s="197"/>
      <c r="E91" s="192"/>
      <c r="F91" s="193"/>
      <c r="G91" s="212"/>
      <c r="H91" s="196"/>
      <c r="I91" s="431"/>
      <c r="J91" s="431"/>
      <c r="K91" s="431"/>
      <c r="L91" s="431"/>
      <c r="M91" s="221"/>
      <c r="N91" s="173"/>
      <c r="O91" s="94"/>
    </row>
    <row r="92" spans="2:22" ht="18.75" customHeight="1" thickBot="1" x14ac:dyDescent="0.35">
      <c r="B92" s="440"/>
      <c r="C92" s="196"/>
      <c r="D92" s="197" t="s">
        <v>392</v>
      </c>
      <c r="E92" s="192"/>
      <c r="F92" s="225" t="e">
        <f>(F88*$F$50/$F$58)</f>
        <v>#N/A</v>
      </c>
      <c r="G92" s="213" t="s">
        <v>19</v>
      </c>
      <c r="H92" s="196"/>
      <c r="I92" s="431"/>
      <c r="J92" s="431"/>
      <c r="K92" s="431"/>
      <c r="L92" s="431"/>
      <c r="M92" s="221"/>
      <c r="N92" s="173"/>
      <c r="O92" s="94"/>
      <c r="S92" s="206" t="s">
        <v>394</v>
      </c>
      <c r="T92" s="207"/>
      <c r="U92" s="208" t="e">
        <f>F92/$F$46</f>
        <v>#N/A</v>
      </c>
    </row>
    <row r="93" spans="2:22" ht="19.2" customHeight="1" thickBot="1" x14ac:dyDescent="0.3">
      <c r="B93" s="1"/>
      <c r="C93" s="11"/>
      <c r="D93" s="95"/>
      <c r="E93" s="94"/>
      <c r="F93" s="96"/>
      <c r="G93" s="97"/>
      <c r="H93" s="84"/>
      <c r="I93" s="84"/>
      <c r="J93" s="84"/>
      <c r="K93" s="84"/>
      <c r="L93" s="181"/>
      <c r="M93" s="180"/>
      <c r="N93" s="173"/>
      <c r="O93" s="84"/>
    </row>
    <row r="94" spans="2:22" ht="18.75" customHeight="1" thickBot="1" x14ac:dyDescent="0.3">
      <c r="B94" s="440" t="s">
        <v>393</v>
      </c>
      <c r="C94" s="198"/>
      <c r="D94" s="199" t="s">
        <v>390</v>
      </c>
      <c r="E94" s="196"/>
      <c r="F94" s="226">
        <v>10000</v>
      </c>
      <c r="G94" s="214" t="s">
        <v>19</v>
      </c>
      <c r="H94" s="220"/>
      <c r="I94" s="431" t="e">
        <f>IF(U98&lt;=0.75,$S$62,IF(U98&lt;=0.9,$S$63,IF(U98&lt;1,$S$64,IF(U98&gt;=1,$S$65))))</f>
        <v>#N/A</v>
      </c>
      <c r="J94" s="431"/>
      <c r="K94" s="431"/>
      <c r="L94" s="431"/>
      <c r="M94" s="221"/>
      <c r="N94" s="174"/>
      <c r="O94" s="84"/>
    </row>
    <row r="95" spans="2:22" ht="3.75" customHeight="1" thickBot="1" x14ac:dyDescent="0.3">
      <c r="B95" s="440"/>
      <c r="C95" s="198"/>
      <c r="D95" s="188"/>
      <c r="E95" s="201"/>
      <c r="F95" s="202"/>
      <c r="G95" s="215"/>
      <c r="H95" s="220"/>
      <c r="I95" s="431"/>
      <c r="J95" s="431"/>
      <c r="K95" s="431"/>
      <c r="L95" s="431"/>
      <c r="M95" s="221"/>
      <c r="N95" s="174"/>
      <c r="O95" s="84"/>
    </row>
    <row r="96" spans="2:22" ht="18.75" customHeight="1" thickBot="1" x14ac:dyDescent="0.35">
      <c r="B96" s="440"/>
      <c r="C96" s="198"/>
      <c r="D96" s="188" t="s">
        <v>391</v>
      </c>
      <c r="E96" s="198"/>
      <c r="F96" s="225" t="e">
        <f>(F94*$F$60/$F$58)</f>
        <v>#N/A</v>
      </c>
      <c r="G96" s="210" t="s">
        <v>16</v>
      </c>
      <c r="H96" s="222"/>
      <c r="I96" s="431"/>
      <c r="J96" s="431"/>
      <c r="K96" s="431"/>
      <c r="L96" s="431"/>
      <c r="M96" s="221"/>
      <c r="N96" s="174"/>
      <c r="O96" s="84"/>
    </row>
    <row r="97" spans="2:22" ht="3.75" customHeight="1" thickBot="1" x14ac:dyDescent="0.3">
      <c r="B97" s="440"/>
      <c r="C97" s="201"/>
      <c r="D97" s="203"/>
      <c r="E97" s="198"/>
      <c r="F97" s="204"/>
      <c r="G97" s="216"/>
      <c r="H97" s="223"/>
      <c r="I97" s="431"/>
      <c r="J97" s="431"/>
      <c r="K97" s="431"/>
      <c r="L97" s="431"/>
      <c r="M97" s="221"/>
      <c r="N97" s="175"/>
      <c r="O97" s="84"/>
    </row>
    <row r="98" spans="2:22" ht="18.75" customHeight="1" thickBot="1" x14ac:dyDescent="0.35">
      <c r="B98" s="440"/>
      <c r="C98" s="205"/>
      <c r="D98" s="188" t="s">
        <v>392</v>
      </c>
      <c r="E98" s="198"/>
      <c r="F98" s="225" t="e">
        <f>(F94*$F$50/$F$58)</f>
        <v>#N/A</v>
      </c>
      <c r="G98" s="213" t="s">
        <v>19</v>
      </c>
      <c r="H98" s="223"/>
      <c r="I98" s="431"/>
      <c r="J98" s="431"/>
      <c r="K98" s="431"/>
      <c r="L98" s="431"/>
      <c r="M98" s="221"/>
      <c r="N98" s="175"/>
      <c r="O98" s="84"/>
      <c r="S98" s="206" t="s">
        <v>395</v>
      </c>
      <c r="T98" s="207"/>
      <c r="U98" s="208" t="e">
        <f>F98/$F$46</f>
        <v>#N/A</v>
      </c>
    </row>
    <row r="99" spans="2:22" ht="3.75" customHeight="1" thickBot="1" x14ac:dyDescent="0.3">
      <c r="B99" s="59"/>
      <c r="C99" s="60"/>
      <c r="D99" s="61"/>
      <c r="E99" s="60"/>
      <c r="F99" s="62"/>
      <c r="G99" s="60"/>
      <c r="H99" s="184"/>
      <c r="I99" s="184"/>
      <c r="J99" s="184"/>
      <c r="K99" s="184"/>
      <c r="L99" s="185"/>
      <c r="M99" s="186"/>
      <c r="N99" s="171"/>
      <c r="O99" s="164"/>
    </row>
    <row r="100" spans="2:22" ht="18.75" customHeight="1" thickTop="1" thickBot="1" x14ac:dyDescent="0.3">
      <c r="B100" s="38"/>
      <c r="C100" s="44"/>
      <c r="D100" s="48"/>
      <c r="E100" s="44"/>
      <c r="F100" s="44"/>
      <c r="G100" s="45"/>
      <c r="H100" s="38"/>
      <c r="I100" s="38"/>
      <c r="J100" s="38"/>
      <c r="K100" s="38"/>
      <c r="L100" s="176"/>
      <c r="M100" s="176"/>
      <c r="N100" s="176"/>
      <c r="O100" s="38"/>
    </row>
    <row r="101" spans="2:22" ht="36" customHeight="1" thickTop="1" x14ac:dyDescent="0.25">
      <c r="B101" s="477" t="s">
        <v>439</v>
      </c>
      <c r="C101" s="478"/>
      <c r="D101" s="478"/>
      <c r="E101" s="478"/>
      <c r="F101" s="478"/>
      <c r="G101" s="478"/>
      <c r="H101" s="478"/>
      <c r="I101" s="478"/>
      <c r="J101" s="478"/>
      <c r="K101" s="478"/>
      <c r="L101" s="478"/>
      <c r="M101" s="479"/>
      <c r="N101" s="170"/>
      <c r="O101" s="167"/>
      <c r="S101" s="65">
        <v>1.5625E-2</v>
      </c>
      <c r="T101" s="7">
        <f>IF($F$36&lt;=300,2500,IF($F$36&lt;=800,4800,IF($F$36&lt;=2000,7400)))</f>
        <v>2500</v>
      </c>
      <c r="U101" s="128">
        <f>+IF($F$11&lt;24,T101,T101+$T$30)</f>
        <v>2500</v>
      </c>
      <c r="V101" s="7" t="s">
        <v>326</v>
      </c>
    </row>
    <row r="102" spans="2:22" ht="18.75" customHeight="1" thickBot="1" x14ac:dyDescent="0.3">
      <c r="B102" s="443" t="str">
        <f>IF($F$36&gt;2000,"NOT RECOMMENDED FOR THE GIVEN PRESSURE"," ")</f>
        <v xml:space="preserve"> </v>
      </c>
      <c r="C102" s="444"/>
      <c r="D102" s="444"/>
      <c r="E102" s="444"/>
      <c r="F102" s="444"/>
      <c r="G102" s="444"/>
      <c r="H102" s="444" t="str">
        <f>IF($F$7=$Q$48,"THICKNESS APPLIES TO GYLON EPIX ONLY"," ")</f>
        <v xml:space="preserve"> </v>
      </c>
      <c r="I102" s="444"/>
      <c r="J102" s="444"/>
      <c r="K102" s="444"/>
      <c r="L102" s="444"/>
      <c r="M102" s="449"/>
      <c r="N102" s="171"/>
      <c r="O102" s="164"/>
      <c r="S102" s="65">
        <v>3.125E-2</v>
      </c>
      <c r="T102" s="7">
        <f>IF($F$36&lt;=300,2500,IF($F$36&lt;=800,4800,IF($F$36&lt;=2000,7400)))</f>
        <v>2500</v>
      </c>
      <c r="U102" s="128">
        <f>+IF($F$11&lt;24,T102,T102+$T$30)</f>
        <v>2500</v>
      </c>
    </row>
    <row r="103" spans="2:22" ht="18.75" customHeight="1" thickBot="1" x14ac:dyDescent="0.35">
      <c r="B103" s="1"/>
      <c r="C103" s="2"/>
      <c r="D103" s="17" t="s">
        <v>319</v>
      </c>
      <c r="E103" s="2"/>
      <c r="F103" s="228">
        <f>($F$7)</f>
        <v>0</v>
      </c>
      <c r="G103" s="14" t="s">
        <v>321</v>
      </c>
      <c r="H103" s="38"/>
      <c r="I103" s="445" t="s">
        <v>396</v>
      </c>
      <c r="J103" s="445"/>
      <c r="K103" s="445"/>
      <c r="L103" s="445"/>
      <c r="M103" s="217"/>
      <c r="N103" s="173"/>
      <c r="O103" s="38"/>
      <c r="S103" s="65">
        <v>6.2E-2</v>
      </c>
      <c r="T103" s="7">
        <f>IF($F$36&lt;=300,3600,IF($F$36&lt;=800,5400,IF($F$36&lt;=2000,8400)))</f>
        <v>3600</v>
      </c>
      <c r="U103" s="128">
        <f>+IF($F$11&lt;24,T103,T103+$T$30)</f>
        <v>3600</v>
      </c>
    </row>
    <row r="104" spans="2:22" ht="19.2" customHeight="1" thickBot="1" x14ac:dyDescent="0.35">
      <c r="B104" s="50"/>
      <c r="C104" s="227"/>
      <c r="D104" s="14"/>
      <c r="E104" s="2"/>
      <c r="F104" s="57"/>
      <c r="G104" s="14"/>
      <c r="H104" s="227"/>
      <c r="I104" s="227"/>
      <c r="J104" s="227"/>
      <c r="K104" s="46"/>
      <c r="L104" s="181"/>
      <c r="M104" s="180"/>
      <c r="N104" s="173"/>
      <c r="O104" s="46"/>
      <c r="S104" s="65">
        <v>0.125</v>
      </c>
      <c r="T104" s="7">
        <f>IF($F$36&lt;=300,4800,IF($F$36&lt;=800,6400,IF($F$36&lt;=2000,9400)))</f>
        <v>4800</v>
      </c>
      <c r="U104" s="128">
        <f>+IF($F$11&lt;24,T104,T104+$T$30)</f>
        <v>4800</v>
      </c>
    </row>
    <row r="105" spans="2:22" ht="18.75" customHeight="1" thickBot="1" x14ac:dyDescent="0.3">
      <c r="B105" s="440" t="s">
        <v>389</v>
      </c>
      <c r="C105" s="187"/>
      <c r="D105" s="188" t="s">
        <v>390</v>
      </c>
      <c r="E105" s="189"/>
      <c r="F105" s="224" t="e">
        <f>LOOKUP(F103,S101:S104,U101:U104)</f>
        <v>#N/A</v>
      </c>
      <c r="G105" s="210" t="s">
        <v>19</v>
      </c>
      <c r="H105" s="220"/>
      <c r="I105" s="431" t="e">
        <f>IF(U109&lt;=0.75,$S$62,IF(U109&lt;=0.9,$S$63,IF(U109&lt;1,$S$64,IF(U109&gt;=1,$S$65))))</f>
        <v>#N/A</v>
      </c>
      <c r="J105" s="431"/>
      <c r="K105" s="431"/>
      <c r="L105" s="431"/>
      <c r="M105" s="221"/>
      <c r="N105" s="173"/>
      <c r="O105" s="46"/>
    </row>
    <row r="106" spans="2:22" ht="3.75" customHeight="1" thickBot="1" x14ac:dyDescent="0.35">
      <c r="B106" s="440"/>
      <c r="C106" s="190"/>
      <c r="D106" s="191"/>
      <c r="E106" s="192"/>
      <c r="F106" s="193"/>
      <c r="G106" s="191"/>
      <c r="H106" s="190"/>
      <c r="I106" s="431"/>
      <c r="J106" s="431"/>
      <c r="K106" s="431"/>
      <c r="L106" s="431"/>
      <c r="M106" s="221"/>
      <c r="N106" s="173"/>
      <c r="O106" s="39"/>
      <c r="S106" s="7">
        <f>IF($F$26&lt;301,2500,IF($F$26&lt;801,4800,IF($F$26&lt;2001,7400,IF($F$26&gt;2000,$S$11))))</f>
        <v>2500</v>
      </c>
      <c r="T106" s="7">
        <f>IF($F$26&lt;301,3600,IF($F$26&lt;801,5400,IF($F$26&lt;2001,8400,IF($F$26&gt;2000,$S$11))))</f>
        <v>3600</v>
      </c>
    </row>
    <row r="107" spans="2:22" ht="18.75" customHeight="1" thickBot="1" x14ac:dyDescent="0.35">
      <c r="B107" s="440"/>
      <c r="C107" s="190"/>
      <c r="D107" s="194" t="s">
        <v>391</v>
      </c>
      <c r="E107" s="195"/>
      <c r="F107" s="225" t="e">
        <f>(F105*$F$60/$F$58)</f>
        <v>#N/A</v>
      </c>
      <c r="G107" s="211" t="s">
        <v>16</v>
      </c>
      <c r="H107" s="190"/>
      <c r="I107" s="431"/>
      <c r="J107" s="431"/>
      <c r="K107" s="431"/>
      <c r="L107" s="431"/>
      <c r="M107" s="221"/>
      <c r="N107" s="173"/>
      <c r="O107" s="39"/>
    </row>
    <row r="108" spans="2:22" ht="3.75" customHeight="1" thickBot="1" x14ac:dyDescent="0.35">
      <c r="B108" s="440"/>
      <c r="C108" s="196"/>
      <c r="D108" s="197"/>
      <c r="E108" s="192"/>
      <c r="F108" s="193"/>
      <c r="G108" s="212"/>
      <c r="H108" s="196"/>
      <c r="I108" s="431"/>
      <c r="J108" s="431"/>
      <c r="K108" s="431"/>
      <c r="L108" s="431"/>
      <c r="M108" s="221"/>
      <c r="N108" s="173"/>
      <c r="O108" s="94"/>
    </row>
    <row r="109" spans="2:22" ht="18.75" customHeight="1" thickBot="1" x14ac:dyDescent="0.35">
      <c r="B109" s="440"/>
      <c r="C109" s="196"/>
      <c r="D109" s="197" t="s">
        <v>392</v>
      </c>
      <c r="E109" s="192"/>
      <c r="F109" s="225" t="e">
        <f>(F105*$F$50/$F$58)</f>
        <v>#N/A</v>
      </c>
      <c r="G109" s="213" t="s">
        <v>19</v>
      </c>
      <c r="H109" s="196"/>
      <c r="I109" s="431"/>
      <c r="J109" s="431"/>
      <c r="K109" s="431"/>
      <c r="L109" s="431"/>
      <c r="M109" s="221"/>
      <c r="N109" s="173"/>
      <c r="O109" s="94"/>
      <c r="S109" s="206" t="s">
        <v>394</v>
      </c>
      <c r="T109" s="207"/>
      <c r="U109" s="208" t="e">
        <f>F109/$F$46</f>
        <v>#N/A</v>
      </c>
    </row>
    <row r="110" spans="2:22" ht="19.2" customHeight="1" thickBot="1" x14ac:dyDescent="0.3">
      <c r="B110" s="1"/>
      <c r="C110" s="11"/>
      <c r="D110" s="95"/>
      <c r="E110" s="94"/>
      <c r="F110" s="96"/>
      <c r="G110" s="97"/>
      <c r="H110" s="84"/>
      <c r="I110" s="84"/>
      <c r="J110" s="84"/>
      <c r="K110" s="84"/>
      <c r="L110" s="181"/>
      <c r="M110" s="180"/>
      <c r="N110" s="173"/>
      <c r="O110" s="84"/>
    </row>
    <row r="111" spans="2:22" ht="18.75" customHeight="1" thickBot="1" x14ac:dyDescent="0.3">
      <c r="B111" s="440" t="s">
        <v>393</v>
      </c>
      <c r="C111" s="198"/>
      <c r="D111" s="199" t="s">
        <v>390</v>
      </c>
      <c r="E111" s="196"/>
      <c r="F111" s="226">
        <v>10000</v>
      </c>
      <c r="G111" s="214" t="s">
        <v>19</v>
      </c>
      <c r="H111" s="220"/>
      <c r="I111" s="431" t="e">
        <f>IF(U115&lt;=0.75,$S$62,IF(U115&lt;=0.9,$S$63,IF(U115&lt;1,$S$64,IF(U115&gt;=1,$S$65))))</f>
        <v>#N/A</v>
      </c>
      <c r="J111" s="431"/>
      <c r="K111" s="431"/>
      <c r="L111" s="431"/>
      <c r="M111" s="221"/>
      <c r="N111" s="174"/>
      <c r="O111" s="84"/>
    </row>
    <row r="112" spans="2:22" ht="3.75" customHeight="1" thickBot="1" x14ac:dyDescent="0.3">
      <c r="B112" s="440"/>
      <c r="C112" s="198"/>
      <c r="D112" s="188"/>
      <c r="E112" s="201"/>
      <c r="F112" s="202"/>
      <c r="G112" s="215"/>
      <c r="H112" s="220"/>
      <c r="I112" s="431"/>
      <c r="J112" s="431"/>
      <c r="K112" s="431"/>
      <c r="L112" s="431"/>
      <c r="M112" s="221"/>
      <c r="N112" s="174"/>
      <c r="O112" s="84"/>
    </row>
    <row r="113" spans="1:21" ht="18.75" customHeight="1" thickBot="1" x14ac:dyDescent="0.35">
      <c r="B113" s="440"/>
      <c r="C113" s="198"/>
      <c r="D113" s="188" t="s">
        <v>391</v>
      </c>
      <c r="E113" s="198"/>
      <c r="F113" s="225" t="e">
        <f>(F111*$F$60/$F$58)</f>
        <v>#N/A</v>
      </c>
      <c r="G113" s="210" t="s">
        <v>16</v>
      </c>
      <c r="H113" s="222"/>
      <c r="I113" s="431"/>
      <c r="J113" s="431"/>
      <c r="K113" s="431"/>
      <c r="L113" s="431"/>
      <c r="M113" s="221"/>
      <c r="N113" s="174"/>
      <c r="O113" s="84"/>
    </row>
    <row r="114" spans="1:21" ht="3.75" customHeight="1" thickBot="1" x14ac:dyDescent="0.3">
      <c r="B114" s="440"/>
      <c r="C114" s="201"/>
      <c r="D114" s="203"/>
      <c r="E114" s="198"/>
      <c r="F114" s="204"/>
      <c r="G114" s="216"/>
      <c r="H114" s="223"/>
      <c r="I114" s="431"/>
      <c r="J114" s="431"/>
      <c r="K114" s="431"/>
      <c r="L114" s="431"/>
      <c r="M114" s="221"/>
      <c r="N114" s="175"/>
      <c r="O114" s="84"/>
    </row>
    <row r="115" spans="1:21" ht="18.75" customHeight="1" thickBot="1" x14ac:dyDescent="0.35">
      <c r="B115" s="440"/>
      <c r="C115" s="205"/>
      <c r="D115" s="188" t="s">
        <v>392</v>
      </c>
      <c r="E115" s="198"/>
      <c r="F115" s="225" t="e">
        <f>(F111*$F$50/$F$58)</f>
        <v>#N/A</v>
      </c>
      <c r="G115" s="213" t="s">
        <v>19</v>
      </c>
      <c r="H115" s="223"/>
      <c r="I115" s="431"/>
      <c r="J115" s="431"/>
      <c r="K115" s="431"/>
      <c r="L115" s="431"/>
      <c r="M115" s="221"/>
      <c r="N115" s="175"/>
      <c r="O115" s="84"/>
      <c r="S115" s="206" t="s">
        <v>395</v>
      </c>
      <c r="T115" s="207"/>
      <c r="U115" s="208" t="e">
        <f>F115/$F$46</f>
        <v>#N/A</v>
      </c>
    </row>
    <row r="116" spans="1:21" ht="3.75" customHeight="1" thickBot="1" x14ac:dyDescent="0.3">
      <c r="B116" s="59"/>
      <c r="C116" s="60"/>
      <c r="D116" s="61"/>
      <c r="E116" s="60"/>
      <c r="F116" s="62"/>
      <c r="G116" s="60"/>
      <c r="H116" s="184"/>
      <c r="I116" s="184"/>
      <c r="J116" s="184"/>
      <c r="K116" s="184"/>
      <c r="L116" s="185"/>
      <c r="M116" s="186"/>
      <c r="N116" s="171"/>
      <c r="O116" s="164"/>
    </row>
    <row r="117" spans="1:21" ht="18.75" customHeight="1" thickTop="1" thickBot="1" x14ac:dyDescent="0.3">
      <c r="B117" s="2"/>
      <c r="C117" s="11"/>
      <c r="D117" s="47"/>
      <c r="E117" s="11"/>
      <c r="F117" s="11"/>
      <c r="G117" s="11"/>
      <c r="H117" s="84"/>
      <c r="I117" s="84"/>
      <c r="J117" s="84"/>
      <c r="K117" s="84"/>
      <c r="L117" s="175"/>
      <c r="M117" s="175"/>
      <c r="N117" s="175"/>
      <c r="O117" s="84"/>
      <c r="T117" s="126" t="s">
        <v>380</v>
      </c>
      <c r="U117" s="126" t="s">
        <v>383</v>
      </c>
    </row>
    <row r="118" spans="1:21" ht="36" customHeight="1" thickTop="1" x14ac:dyDescent="0.25">
      <c r="B118" s="477" t="s">
        <v>441</v>
      </c>
      <c r="C118" s="478"/>
      <c r="D118" s="478"/>
      <c r="E118" s="478"/>
      <c r="F118" s="478"/>
      <c r="G118" s="478"/>
      <c r="H118" s="478"/>
      <c r="I118" s="478"/>
      <c r="J118" s="478"/>
      <c r="K118" s="478"/>
      <c r="L118" s="478"/>
      <c r="M118" s="479"/>
      <c r="N118" s="170"/>
      <c r="O118" s="167"/>
      <c r="S118" s="65" t="s">
        <v>364</v>
      </c>
      <c r="T118" s="64">
        <f>IF($F$36&lt;=300,3600,IF($F$36&lt;=800,4800,IF($F$36&lt;=2000,6000,)))</f>
        <v>3600</v>
      </c>
      <c r="U118" s="128">
        <f>+IF($F$11&lt;24,T118,T118+$T$30)</f>
        <v>3600</v>
      </c>
    </row>
    <row r="119" spans="1:21" ht="18.75" customHeight="1" thickBot="1" x14ac:dyDescent="0.35">
      <c r="A119" s="71"/>
      <c r="B119" s="443" t="str">
        <f>IF($F$36&gt;2000,"NOT RECOMMENDED FOR THE GIVEN PRESSURE"," ")</f>
        <v xml:space="preserve"> </v>
      </c>
      <c r="C119" s="444"/>
      <c r="D119" s="444"/>
      <c r="E119" s="444"/>
      <c r="F119" s="444"/>
      <c r="G119" s="444"/>
      <c r="H119" s="444" t="str">
        <f>IF($F$7=$Q$48,"THICKNESS APPLIES TO GYLON EPIX ONLY"," ")</f>
        <v xml:space="preserve"> </v>
      </c>
      <c r="I119" s="444"/>
      <c r="J119" s="444"/>
      <c r="K119" s="444"/>
      <c r="L119" s="444"/>
      <c r="M119" s="449"/>
      <c r="N119" s="171"/>
      <c r="O119" s="164"/>
      <c r="S119" s="81"/>
      <c r="U119" s="128"/>
    </row>
    <row r="120" spans="1:21" ht="18.600000000000001" customHeight="1" thickBot="1" x14ac:dyDescent="0.35">
      <c r="B120" s="1"/>
      <c r="C120" s="2"/>
      <c r="D120" s="17" t="s">
        <v>319</v>
      </c>
      <c r="E120" s="2"/>
      <c r="F120" s="103" t="s">
        <v>379</v>
      </c>
      <c r="G120" s="14" t="s">
        <v>321</v>
      </c>
      <c r="H120" s="38"/>
      <c r="I120" s="445" t="s">
        <v>396</v>
      </c>
      <c r="J120" s="445"/>
      <c r="K120" s="445"/>
      <c r="L120" s="445"/>
      <c r="M120" s="217"/>
      <c r="N120" s="173"/>
      <c r="O120" s="38"/>
      <c r="S120" s="81"/>
      <c r="U120" s="128"/>
    </row>
    <row r="121" spans="1:21" ht="19.2" customHeight="1" thickBot="1" x14ac:dyDescent="0.35">
      <c r="B121" s="50"/>
      <c r="C121" s="227"/>
      <c r="D121" s="14"/>
      <c r="E121" s="2"/>
      <c r="F121" s="57"/>
      <c r="G121" s="14"/>
      <c r="H121" s="227"/>
      <c r="I121" s="227"/>
      <c r="J121" s="227"/>
      <c r="K121" s="46"/>
      <c r="L121" s="181"/>
      <c r="M121" s="180"/>
      <c r="N121" s="173"/>
      <c r="O121" s="46"/>
      <c r="S121" s="81"/>
      <c r="U121" s="128"/>
    </row>
    <row r="122" spans="1:21" ht="18.75" customHeight="1" thickBot="1" x14ac:dyDescent="0.3">
      <c r="B122" s="440" t="s">
        <v>389</v>
      </c>
      <c r="C122" s="187"/>
      <c r="D122" s="188" t="s">
        <v>390</v>
      </c>
      <c r="E122" s="189"/>
      <c r="F122" s="224">
        <f>U118</f>
        <v>3600</v>
      </c>
      <c r="G122" s="210" t="s">
        <v>19</v>
      </c>
      <c r="H122" s="220"/>
      <c r="I122" s="431" t="e">
        <f>IF(U126&lt;=0.75,$S$62,IF(U126&lt;=0.9,$S$63,IF(U126&lt;1,$S$64,IF(U126&gt;=1,$S$65))))</f>
        <v>#N/A</v>
      </c>
      <c r="J122" s="431"/>
      <c r="K122" s="431"/>
      <c r="L122" s="431"/>
      <c r="M122" s="221"/>
      <c r="N122" s="173"/>
      <c r="O122" s="46"/>
    </row>
    <row r="123" spans="1:21" ht="3.75" customHeight="1" thickBot="1" x14ac:dyDescent="0.35">
      <c r="B123" s="440"/>
      <c r="C123" s="190"/>
      <c r="D123" s="191"/>
      <c r="E123" s="192"/>
      <c r="F123" s="193"/>
      <c r="G123" s="191"/>
      <c r="H123" s="190"/>
      <c r="I123" s="431"/>
      <c r="J123" s="431"/>
      <c r="K123" s="431"/>
      <c r="L123" s="431"/>
      <c r="M123" s="221"/>
      <c r="N123" s="173"/>
      <c r="O123" s="39"/>
      <c r="S123" s="7">
        <f>IF($F$26&lt;301,2500,IF($F$26&lt;801,4800,IF($F$26&lt;2001,7400,IF($F$26&gt;2000,$S$11))))</f>
        <v>2500</v>
      </c>
      <c r="T123" s="7">
        <f>IF($F$26&lt;301,3600,IF($F$26&lt;801,5400,IF($F$26&lt;2001,8400,IF($F$26&gt;2000,$S$11))))</f>
        <v>3600</v>
      </c>
    </row>
    <row r="124" spans="1:21" ht="18.75" customHeight="1" thickBot="1" x14ac:dyDescent="0.35">
      <c r="B124" s="440"/>
      <c r="C124" s="190"/>
      <c r="D124" s="194" t="s">
        <v>391</v>
      </c>
      <c r="E124" s="195"/>
      <c r="F124" s="225" t="e">
        <f>(F122*$F$60/$F$58)</f>
        <v>#N/A</v>
      </c>
      <c r="G124" s="211" t="s">
        <v>16</v>
      </c>
      <c r="H124" s="190"/>
      <c r="I124" s="431"/>
      <c r="J124" s="431"/>
      <c r="K124" s="431"/>
      <c r="L124" s="431"/>
      <c r="M124" s="221"/>
      <c r="N124" s="173"/>
      <c r="O124" s="39"/>
    </row>
    <row r="125" spans="1:21" ht="3.75" customHeight="1" thickBot="1" x14ac:dyDescent="0.35">
      <c r="B125" s="440"/>
      <c r="C125" s="196"/>
      <c r="D125" s="197"/>
      <c r="E125" s="192"/>
      <c r="F125" s="193"/>
      <c r="G125" s="212"/>
      <c r="H125" s="196"/>
      <c r="I125" s="431"/>
      <c r="J125" s="431"/>
      <c r="K125" s="431"/>
      <c r="L125" s="431"/>
      <c r="M125" s="221"/>
      <c r="N125" s="173"/>
      <c r="O125" s="94"/>
    </row>
    <row r="126" spans="1:21" ht="18.75" customHeight="1" thickBot="1" x14ac:dyDescent="0.35">
      <c r="B126" s="440"/>
      <c r="C126" s="196"/>
      <c r="D126" s="197" t="s">
        <v>392</v>
      </c>
      <c r="E126" s="192"/>
      <c r="F126" s="225" t="e">
        <f>(F122*$F$50/$F$58)</f>
        <v>#N/A</v>
      </c>
      <c r="G126" s="213" t="s">
        <v>19</v>
      </c>
      <c r="H126" s="196"/>
      <c r="I126" s="431"/>
      <c r="J126" s="431"/>
      <c r="K126" s="431"/>
      <c r="L126" s="431"/>
      <c r="M126" s="221"/>
      <c r="N126" s="173"/>
      <c r="O126" s="94"/>
      <c r="S126" s="206" t="s">
        <v>394</v>
      </c>
      <c r="T126" s="207"/>
      <c r="U126" s="208" t="e">
        <f>F126/$F$46</f>
        <v>#N/A</v>
      </c>
    </row>
    <row r="127" spans="1:21" ht="19.2" customHeight="1" thickBot="1" x14ac:dyDescent="0.3">
      <c r="B127" s="1"/>
      <c r="C127" s="11"/>
      <c r="D127" s="95"/>
      <c r="E127" s="94"/>
      <c r="F127" s="96"/>
      <c r="G127" s="97"/>
      <c r="H127" s="84"/>
      <c r="I127" s="84"/>
      <c r="J127" s="84"/>
      <c r="K127" s="84"/>
      <c r="L127" s="181"/>
      <c r="M127" s="180"/>
      <c r="N127" s="173"/>
      <c r="O127" s="84"/>
    </row>
    <row r="128" spans="1:21" ht="18.75" customHeight="1" thickBot="1" x14ac:dyDescent="0.3">
      <c r="B128" s="440" t="s">
        <v>393</v>
      </c>
      <c r="C128" s="198"/>
      <c r="D128" s="199" t="s">
        <v>390</v>
      </c>
      <c r="E128" s="196"/>
      <c r="F128" s="226">
        <v>20000</v>
      </c>
      <c r="G128" s="214" t="s">
        <v>19</v>
      </c>
      <c r="H128" s="220"/>
      <c r="I128" s="431" t="e">
        <f>IF(U132&lt;=0.75,$S$62,IF(U132&lt;=0.9,$S$63,IF(U132&lt;1,$S$64,IF(U132&gt;=1,$S$65))))</f>
        <v>#N/A</v>
      </c>
      <c r="J128" s="431"/>
      <c r="K128" s="431"/>
      <c r="L128" s="431"/>
      <c r="M128" s="221"/>
      <c r="N128" s="174"/>
      <c r="O128" s="84"/>
    </row>
    <row r="129" spans="2:21" ht="3.75" customHeight="1" thickBot="1" x14ac:dyDescent="0.3">
      <c r="B129" s="440"/>
      <c r="C129" s="198"/>
      <c r="D129" s="188"/>
      <c r="E129" s="201"/>
      <c r="F129" s="202"/>
      <c r="G129" s="215"/>
      <c r="H129" s="220"/>
      <c r="I129" s="431"/>
      <c r="J129" s="431"/>
      <c r="K129" s="431"/>
      <c r="L129" s="431"/>
      <c r="M129" s="221"/>
      <c r="N129" s="174"/>
      <c r="O129" s="84"/>
    </row>
    <row r="130" spans="2:21" ht="18.75" customHeight="1" thickBot="1" x14ac:dyDescent="0.35">
      <c r="B130" s="440"/>
      <c r="C130" s="198"/>
      <c r="D130" s="188" t="s">
        <v>391</v>
      </c>
      <c r="E130" s="198"/>
      <c r="F130" s="225" t="e">
        <f>(F128*$F$60/$F$58)</f>
        <v>#N/A</v>
      </c>
      <c r="G130" s="210" t="s">
        <v>16</v>
      </c>
      <c r="H130" s="222"/>
      <c r="I130" s="431"/>
      <c r="J130" s="431"/>
      <c r="K130" s="431"/>
      <c r="L130" s="431"/>
      <c r="M130" s="221"/>
      <c r="N130" s="174"/>
      <c r="O130" s="84"/>
    </row>
    <row r="131" spans="2:21" ht="3.75" customHeight="1" thickBot="1" x14ac:dyDescent="0.3">
      <c r="B131" s="440"/>
      <c r="C131" s="201"/>
      <c r="D131" s="203"/>
      <c r="E131" s="198"/>
      <c r="F131" s="204"/>
      <c r="G131" s="216"/>
      <c r="H131" s="223"/>
      <c r="I131" s="431"/>
      <c r="J131" s="431"/>
      <c r="K131" s="431"/>
      <c r="L131" s="431"/>
      <c r="M131" s="221"/>
      <c r="N131" s="175"/>
      <c r="O131" s="84"/>
    </row>
    <row r="132" spans="2:21" ht="18.75" customHeight="1" thickBot="1" x14ac:dyDescent="0.35">
      <c r="B132" s="440"/>
      <c r="C132" s="205"/>
      <c r="D132" s="188" t="s">
        <v>392</v>
      </c>
      <c r="E132" s="198"/>
      <c r="F132" s="225" t="e">
        <f>(F128*$F$50/$F$58)</f>
        <v>#N/A</v>
      </c>
      <c r="G132" s="213" t="s">
        <v>19</v>
      </c>
      <c r="H132" s="223"/>
      <c r="I132" s="431"/>
      <c r="J132" s="431"/>
      <c r="K132" s="431"/>
      <c r="L132" s="431"/>
      <c r="M132" s="221"/>
      <c r="N132" s="175"/>
      <c r="O132" s="84"/>
      <c r="S132" s="206" t="s">
        <v>395</v>
      </c>
      <c r="T132" s="209"/>
      <c r="U132" s="208" t="e">
        <f>F132/$F$46</f>
        <v>#N/A</v>
      </c>
    </row>
    <row r="133" spans="2:21" ht="3.75" customHeight="1" thickBot="1" x14ac:dyDescent="0.3">
      <c r="B133" s="59"/>
      <c r="C133" s="60"/>
      <c r="D133" s="61"/>
      <c r="E133" s="60"/>
      <c r="F133" s="62"/>
      <c r="G133" s="60"/>
      <c r="H133" s="184"/>
      <c r="I133" s="184"/>
      <c r="J133" s="184"/>
      <c r="K133" s="184"/>
      <c r="L133" s="185"/>
      <c r="M133" s="186"/>
      <c r="N133" s="171"/>
      <c r="O133" s="164"/>
    </row>
    <row r="134" spans="2:21" ht="18.75" customHeight="1" thickTop="1" thickBot="1" x14ac:dyDescent="0.3">
      <c r="B134" s="160"/>
      <c r="C134" s="161"/>
      <c r="D134" s="162"/>
      <c r="E134" s="161"/>
      <c r="F134" s="163"/>
      <c r="G134" s="161"/>
      <c r="H134" s="164"/>
      <c r="I134" s="164"/>
      <c r="J134" s="164"/>
      <c r="K134" s="164"/>
      <c r="L134" s="171"/>
      <c r="M134" s="171"/>
      <c r="N134" s="171"/>
      <c r="O134" s="164"/>
      <c r="T134" s="286" t="s">
        <v>381</v>
      </c>
      <c r="U134" s="142"/>
    </row>
    <row r="135" spans="2:21" ht="36" customHeight="1" thickTop="1" x14ac:dyDescent="0.25">
      <c r="B135" s="477" t="s">
        <v>404</v>
      </c>
      <c r="C135" s="478"/>
      <c r="D135" s="478"/>
      <c r="E135" s="478"/>
      <c r="F135" s="478"/>
      <c r="G135" s="478"/>
      <c r="H135" s="478"/>
      <c r="I135" s="478"/>
      <c r="J135" s="478"/>
      <c r="K135" s="478"/>
      <c r="L135" s="478"/>
      <c r="M135" s="479"/>
      <c r="N135" s="177"/>
      <c r="O135" s="168"/>
      <c r="S135" s="165" t="s">
        <v>382</v>
      </c>
      <c r="T135" s="64">
        <f>IF($F$36&lt;=300,4000,IF($F$36&lt;=800,6000,IF($F$36&lt;=2000,10000,IF($F$36&gt;2000,15000))))</f>
        <v>4000</v>
      </c>
      <c r="U135" s="143"/>
    </row>
    <row r="136" spans="2:21" ht="18.75" customHeight="1" thickBot="1" x14ac:dyDescent="0.3">
      <c r="B136" s="50"/>
      <c r="C136" s="43"/>
      <c r="D136" s="43"/>
      <c r="E136" s="43"/>
      <c r="F136" s="43"/>
      <c r="G136" s="43"/>
      <c r="H136" s="444" t="str">
        <f>IF($F$7=$Q$48,"THICKNESS APPLIES TO GYLON EPIX ONLY"," ")</f>
        <v xml:space="preserve"> </v>
      </c>
      <c r="I136" s="444"/>
      <c r="J136" s="444"/>
      <c r="K136" s="444"/>
      <c r="L136" s="444"/>
      <c r="M136" s="449"/>
      <c r="N136" s="171"/>
      <c r="O136" s="164"/>
      <c r="S136" s="81"/>
      <c r="U136" s="128"/>
    </row>
    <row r="137" spans="2:21" ht="18.75" customHeight="1" thickBot="1" x14ac:dyDescent="0.35">
      <c r="B137" s="1"/>
      <c r="C137" s="2"/>
      <c r="D137" s="17" t="s">
        <v>319</v>
      </c>
      <c r="E137" s="2"/>
      <c r="F137" s="103" t="s">
        <v>323</v>
      </c>
      <c r="G137" s="14" t="s">
        <v>321</v>
      </c>
      <c r="H137" s="38"/>
      <c r="I137" s="445" t="s">
        <v>396</v>
      </c>
      <c r="J137" s="445"/>
      <c r="K137" s="445"/>
      <c r="L137" s="445"/>
      <c r="M137" s="217"/>
      <c r="N137" s="172"/>
      <c r="O137" s="38"/>
      <c r="S137" s="81"/>
      <c r="U137" s="128"/>
    </row>
    <row r="138" spans="2:21" ht="19.2" customHeight="1" thickBot="1" x14ac:dyDescent="0.35">
      <c r="B138" s="50"/>
      <c r="C138" s="227"/>
      <c r="D138" s="14"/>
      <c r="E138" s="2"/>
      <c r="F138" s="57"/>
      <c r="G138" s="14"/>
      <c r="H138" s="227"/>
      <c r="I138" s="227"/>
      <c r="J138" s="227"/>
      <c r="K138" s="46"/>
      <c r="L138" s="172"/>
      <c r="M138" s="217"/>
      <c r="N138" s="172"/>
      <c r="O138" s="46"/>
      <c r="S138" s="81"/>
      <c r="U138" s="128"/>
    </row>
    <row r="139" spans="2:21" ht="18.75" customHeight="1" thickBot="1" x14ac:dyDescent="0.3">
      <c r="B139" s="440" t="s">
        <v>389</v>
      </c>
      <c r="C139" s="187"/>
      <c r="D139" s="188" t="s">
        <v>390</v>
      </c>
      <c r="E139" s="189"/>
      <c r="F139" s="224">
        <f>T135</f>
        <v>4000</v>
      </c>
      <c r="G139" s="210" t="s">
        <v>19</v>
      </c>
      <c r="H139" s="220"/>
      <c r="I139" s="431" t="e">
        <f>IF(U143&lt;=0.75,$S$62,IF(U143&lt;=0.9,$S$63,IF(U143&lt;1,$S$64,IF(U143&gt;=1,$S$65))))</f>
        <v>#N/A</v>
      </c>
      <c r="J139" s="431"/>
      <c r="K139" s="431"/>
      <c r="L139" s="431"/>
      <c r="M139" s="221"/>
      <c r="N139" s="173"/>
      <c r="O139" s="46"/>
    </row>
    <row r="140" spans="2:21" ht="3.6" customHeight="1" thickBot="1" x14ac:dyDescent="0.35">
      <c r="B140" s="440"/>
      <c r="C140" s="190"/>
      <c r="D140" s="191"/>
      <c r="E140" s="192"/>
      <c r="F140" s="193"/>
      <c r="G140" s="191"/>
      <c r="H140" s="190"/>
      <c r="I140" s="431"/>
      <c r="J140" s="431"/>
      <c r="K140" s="431"/>
      <c r="L140" s="431"/>
      <c r="M140" s="221"/>
      <c r="N140" s="173"/>
      <c r="O140" s="39"/>
      <c r="S140" s="7">
        <f>IF($F$26&lt;301,2500,IF($F$26&lt;801,4800,IF($F$26&lt;2001,7400,IF($F$26&gt;2000,$S$11))))</f>
        <v>2500</v>
      </c>
      <c r="T140" s="7">
        <f>IF($F$26&lt;301,3600,IF($F$26&lt;801,5400,IF($F$26&lt;2001,8400,IF($F$26&gt;2000,$S$11))))</f>
        <v>3600</v>
      </c>
    </row>
    <row r="141" spans="2:21" ht="18.75" customHeight="1" thickBot="1" x14ac:dyDescent="0.35">
      <c r="B141" s="440"/>
      <c r="C141" s="190"/>
      <c r="D141" s="194" t="s">
        <v>391</v>
      </c>
      <c r="E141" s="195"/>
      <c r="F141" s="225" t="e">
        <f>(F139*$F$60/$F$58)</f>
        <v>#N/A</v>
      </c>
      <c r="G141" s="211" t="s">
        <v>16</v>
      </c>
      <c r="H141" s="190"/>
      <c r="I141" s="431"/>
      <c r="J141" s="431"/>
      <c r="K141" s="431"/>
      <c r="L141" s="431"/>
      <c r="M141" s="221"/>
      <c r="N141" s="173"/>
      <c r="O141" s="39"/>
    </row>
    <row r="142" spans="2:21" ht="3.6" customHeight="1" thickBot="1" x14ac:dyDescent="0.35">
      <c r="B142" s="440"/>
      <c r="C142" s="196"/>
      <c r="D142" s="197"/>
      <c r="E142" s="192"/>
      <c r="F142" s="193"/>
      <c r="G142" s="212"/>
      <c r="H142" s="196"/>
      <c r="I142" s="431"/>
      <c r="J142" s="431"/>
      <c r="K142" s="431"/>
      <c r="L142" s="431"/>
      <c r="M142" s="221"/>
      <c r="N142" s="173"/>
      <c r="O142" s="94"/>
    </row>
    <row r="143" spans="2:21" ht="18.75" customHeight="1" thickBot="1" x14ac:dyDescent="0.35">
      <c r="B143" s="440"/>
      <c r="C143" s="196"/>
      <c r="D143" s="197" t="s">
        <v>392</v>
      </c>
      <c r="E143" s="192"/>
      <c r="F143" s="225" t="e">
        <f>(F139*$F$50/$F$58)</f>
        <v>#N/A</v>
      </c>
      <c r="G143" s="213" t="s">
        <v>19</v>
      </c>
      <c r="H143" s="196"/>
      <c r="I143" s="431"/>
      <c r="J143" s="431"/>
      <c r="K143" s="431"/>
      <c r="L143" s="431"/>
      <c r="M143" s="221"/>
      <c r="N143" s="173"/>
      <c r="O143" s="94"/>
      <c r="S143" s="206" t="s">
        <v>394</v>
      </c>
      <c r="T143" s="207"/>
      <c r="U143" s="208" t="e">
        <f>F143/$F$46</f>
        <v>#N/A</v>
      </c>
    </row>
    <row r="144" spans="2:21" ht="18.75" customHeight="1" thickBot="1" x14ac:dyDescent="0.3">
      <c r="B144" s="1"/>
      <c r="C144" s="11"/>
      <c r="D144" s="95"/>
      <c r="E144" s="94"/>
      <c r="F144" s="96"/>
      <c r="G144" s="97"/>
      <c r="H144" s="84"/>
      <c r="I144" s="84"/>
      <c r="J144" s="84"/>
      <c r="K144" s="84"/>
      <c r="L144" s="181"/>
      <c r="M144" s="180"/>
      <c r="N144" s="173"/>
      <c r="O144" s="84"/>
    </row>
    <row r="145" spans="2:21" ht="18.75" customHeight="1" thickBot="1" x14ac:dyDescent="0.3">
      <c r="B145" s="440" t="s">
        <v>393</v>
      </c>
      <c r="C145" s="198"/>
      <c r="D145" s="199" t="s">
        <v>390</v>
      </c>
      <c r="E145" s="196"/>
      <c r="F145" s="226">
        <v>40000</v>
      </c>
      <c r="G145" s="214" t="s">
        <v>19</v>
      </c>
      <c r="H145" s="220"/>
      <c r="I145" s="431" t="e">
        <f>IF(U149&lt;=0.75,$S$62,IF(U149&lt;=0.9,$S$63,IF(U149&lt;1,$S$64,IF(U149&gt;=1,$S$65))))</f>
        <v>#N/A</v>
      </c>
      <c r="J145" s="431"/>
      <c r="K145" s="431"/>
      <c r="L145" s="431"/>
      <c r="M145" s="221"/>
      <c r="N145" s="174"/>
      <c r="O145" s="84"/>
    </row>
    <row r="146" spans="2:21" ht="3.6" customHeight="1" thickBot="1" x14ac:dyDescent="0.3">
      <c r="B146" s="440"/>
      <c r="C146" s="198"/>
      <c r="D146" s="188"/>
      <c r="E146" s="201"/>
      <c r="F146" s="202"/>
      <c r="G146" s="215"/>
      <c r="H146" s="220"/>
      <c r="I146" s="431"/>
      <c r="J146" s="431"/>
      <c r="K146" s="431"/>
      <c r="L146" s="431"/>
      <c r="M146" s="221"/>
      <c r="N146" s="174"/>
      <c r="O146" s="84"/>
    </row>
    <row r="147" spans="2:21" ht="18.75" customHeight="1" thickBot="1" x14ac:dyDescent="0.35">
      <c r="B147" s="440"/>
      <c r="C147" s="198"/>
      <c r="D147" s="188" t="s">
        <v>391</v>
      </c>
      <c r="E147" s="198"/>
      <c r="F147" s="225" t="e">
        <f>(F145*$F$60/$F$58)</f>
        <v>#N/A</v>
      </c>
      <c r="G147" s="210" t="s">
        <v>16</v>
      </c>
      <c r="H147" s="222"/>
      <c r="I147" s="431"/>
      <c r="J147" s="431"/>
      <c r="K147" s="431"/>
      <c r="L147" s="431"/>
      <c r="M147" s="221"/>
      <c r="N147" s="174"/>
      <c r="O147" s="84"/>
    </row>
    <row r="148" spans="2:21" ht="3.6" customHeight="1" thickBot="1" x14ac:dyDescent="0.3">
      <c r="B148" s="440"/>
      <c r="C148" s="201"/>
      <c r="D148" s="203"/>
      <c r="E148" s="198"/>
      <c r="F148" s="204"/>
      <c r="G148" s="216"/>
      <c r="H148" s="223"/>
      <c r="I148" s="431"/>
      <c r="J148" s="431"/>
      <c r="K148" s="431"/>
      <c r="L148" s="431"/>
      <c r="M148" s="221"/>
      <c r="N148" s="175"/>
      <c r="O148" s="84"/>
    </row>
    <row r="149" spans="2:21" ht="18.75" customHeight="1" thickBot="1" x14ac:dyDescent="0.35">
      <c r="B149" s="440"/>
      <c r="C149" s="205"/>
      <c r="D149" s="188" t="s">
        <v>392</v>
      </c>
      <c r="E149" s="198"/>
      <c r="F149" s="225" t="e">
        <f>(F145*$F$50/$F$58)</f>
        <v>#N/A</v>
      </c>
      <c r="G149" s="213" t="s">
        <v>19</v>
      </c>
      <c r="H149" s="223"/>
      <c r="I149" s="431"/>
      <c r="J149" s="431"/>
      <c r="K149" s="431"/>
      <c r="L149" s="431"/>
      <c r="M149" s="221"/>
      <c r="N149" s="175"/>
      <c r="O149" s="84"/>
      <c r="S149" s="206" t="s">
        <v>395</v>
      </c>
      <c r="T149" s="207"/>
      <c r="U149" s="208" t="e">
        <f>F149/$F$46</f>
        <v>#N/A</v>
      </c>
    </row>
    <row r="150" spans="2:21" ht="3.6" customHeight="1" thickBot="1" x14ac:dyDescent="0.3">
      <c r="B150" s="59"/>
      <c r="C150" s="60"/>
      <c r="D150" s="61"/>
      <c r="E150" s="60"/>
      <c r="F150" s="62"/>
      <c r="G150" s="60"/>
      <c r="H150" s="184"/>
      <c r="I150" s="184"/>
      <c r="J150" s="184"/>
      <c r="K150" s="184"/>
      <c r="L150" s="185"/>
      <c r="M150" s="186"/>
      <c r="N150" s="171"/>
      <c r="O150" s="164"/>
    </row>
    <row r="151" spans="2:21" ht="18.75" customHeight="1" thickTop="1" thickBot="1" x14ac:dyDescent="0.3">
      <c r="B151" s="38"/>
      <c r="C151" s="43"/>
      <c r="D151" s="20"/>
      <c r="E151" s="43"/>
      <c r="F151" s="80"/>
      <c r="G151" s="43"/>
      <c r="H151" s="164"/>
      <c r="I151" s="164"/>
      <c r="J151" s="164"/>
      <c r="K151" s="164"/>
      <c r="L151" s="171"/>
      <c r="M151" s="171"/>
      <c r="N151" s="171"/>
      <c r="O151" s="164"/>
    </row>
    <row r="152" spans="2:21" ht="36" customHeight="1" thickTop="1" x14ac:dyDescent="0.25">
      <c r="B152" s="477" t="s">
        <v>405</v>
      </c>
      <c r="C152" s="478"/>
      <c r="D152" s="478"/>
      <c r="E152" s="478"/>
      <c r="F152" s="478"/>
      <c r="G152" s="478"/>
      <c r="H152" s="478"/>
      <c r="I152" s="478"/>
      <c r="J152" s="478"/>
      <c r="K152" s="478"/>
      <c r="L152" s="478"/>
      <c r="M152" s="479"/>
      <c r="N152" s="177"/>
      <c r="O152" s="168"/>
      <c r="S152" s="165"/>
      <c r="T152" s="64"/>
      <c r="U152" s="143"/>
    </row>
    <row r="153" spans="2:21" ht="18.75" customHeight="1" thickBot="1" x14ac:dyDescent="0.3">
      <c r="B153" s="50"/>
      <c r="C153" s="43"/>
      <c r="D153" s="43"/>
      <c r="E153" s="43"/>
      <c r="F153" s="43"/>
      <c r="G153" s="43"/>
      <c r="H153" s="444" t="str">
        <f>IF($F$7=$Q$48,"THICKNESS APPLIES TO GYLON EPIX ONLY"," ")</f>
        <v xml:space="preserve"> </v>
      </c>
      <c r="I153" s="444"/>
      <c r="J153" s="444"/>
      <c r="K153" s="444"/>
      <c r="L153" s="444"/>
      <c r="M153" s="449"/>
      <c r="N153" s="171"/>
      <c r="O153" s="164"/>
      <c r="S153" s="81"/>
      <c r="U153" s="128"/>
    </row>
    <row r="154" spans="2:21" ht="18.75" customHeight="1" thickBot="1" x14ac:dyDescent="0.35">
      <c r="B154" s="1"/>
      <c r="C154" s="2"/>
      <c r="D154" s="17" t="s">
        <v>319</v>
      </c>
      <c r="E154" s="2"/>
      <c r="F154" s="103" t="s">
        <v>323</v>
      </c>
      <c r="G154" s="14" t="s">
        <v>321</v>
      </c>
      <c r="H154" s="38"/>
      <c r="I154" s="445" t="s">
        <v>396</v>
      </c>
      <c r="J154" s="445"/>
      <c r="K154" s="445"/>
      <c r="L154" s="445"/>
      <c r="M154" s="217"/>
      <c r="N154" s="172"/>
      <c r="O154" s="38"/>
      <c r="S154" s="81"/>
      <c r="U154" s="128"/>
    </row>
    <row r="155" spans="2:21" ht="19.2" customHeight="1" thickBot="1" x14ac:dyDescent="0.35">
      <c r="B155" s="50"/>
      <c r="C155" s="227"/>
      <c r="D155" s="14"/>
      <c r="E155" s="2"/>
      <c r="F155" s="57"/>
      <c r="G155" s="14"/>
      <c r="H155" s="227"/>
      <c r="I155" s="227"/>
      <c r="J155" s="227"/>
      <c r="K155" s="46"/>
      <c r="L155" s="172"/>
      <c r="M155" s="217"/>
      <c r="N155" s="172"/>
      <c r="O155" s="46"/>
      <c r="S155" s="81"/>
      <c r="U155" s="128"/>
    </row>
    <row r="156" spans="2:21" ht="18.75" customHeight="1" thickBot="1" x14ac:dyDescent="0.3">
      <c r="B156" s="440" t="s">
        <v>389</v>
      </c>
      <c r="C156" s="187"/>
      <c r="D156" s="188" t="s">
        <v>390</v>
      </c>
      <c r="E156" s="189"/>
      <c r="F156" s="224">
        <v>10000</v>
      </c>
      <c r="G156" s="210" t="s">
        <v>19</v>
      </c>
      <c r="H156" s="220"/>
      <c r="I156" s="431" t="e">
        <f>IF(U160&lt;=0.75,$S$62,IF(U160&lt;=0.9,$S$63,IF(U160&lt;1,$S$64,IF(U160&gt;=1,$S$65))))</f>
        <v>#N/A</v>
      </c>
      <c r="J156" s="431"/>
      <c r="K156" s="431"/>
      <c r="L156" s="431"/>
      <c r="M156" s="221"/>
      <c r="N156" s="173"/>
      <c r="O156" s="46"/>
    </row>
    <row r="157" spans="2:21" ht="3.6" customHeight="1" thickBot="1" x14ac:dyDescent="0.35">
      <c r="B157" s="440"/>
      <c r="C157" s="190"/>
      <c r="D157" s="191"/>
      <c r="E157" s="192"/>
      <c r="F157" s="193"/>
      <c r="G157" s="191"/>
      <c r="H157" s="190"/>
      <c r="I157" s="431"/>
      <c r="J157" s="431"/>
      <c r="K157" s="431"/>
      <c r="L157" s="431"/>
      <c r="M157" s="221"/>
      <c r="N157" s="173"/>
      <c r="O157" s="39"/>
      <c r="S157" s="7">
        <f>IF($F$26&lt;301,2500,IF($F$26&lt;801,4800,IF($F$26&lt;2001,7400,IF($F$26&gt;2000,$S$11))))</f>
        <v>2500</v>
      </c>
      <c r="T157" s="7">
        <f>IF($F$26&lt;301,3600,IF($F$26&lt;801,5400,IF($F$26&lt;2001,8400,IF($F$26&gt;2000,$S$11))))</f>
        <v>3600</v>
      </c>
    </row>
    <row r="158" spans="2:21" ht="18.75" customHeight="1" thickBot="1" x14ac:dyDescent="0.35">
      <c r="B158" s="440"/>
      <c r="C158" s="190"/>
      <c r="D158" s="194" t="s">
        <v>391</v>
      </c>
      <c r="E158" s="195"/>
      <c r="F158" s="225" t="e">
        <f>(F156*$F$60/$F$58)</f>
        <v>#N/A</v>
      </c>
      <c r="G158" s="211" t="s">
        <v>16</v>
      </c>
      <c r="H158" s="190"/>
      <c r="I158" s="431"/>
      <c r="J158" s="431"/>
      <c r="K158" s="431"/>
      <c r="L158" s="431"/>
      <c r="M158" s="221"/>
      <c r="N158" s="173"/>
      <c r="O158" s="39"/>
    </row>
    <row r="159" spans="2:21" ht="3.6" customHeight="1" thickBot="1" x14ac:dyDescent="0.35">
      <c r="B159" s="440"/>
      <c r="C159" s="196"/>
      <c r="D159" s="197"/>
      <c r="E159" s="192"/>
      <c r="F159" s="193"/>
      <c r="G159" s="212"/>
      <c r="H159" s="196"/>
      <c r="I159" s="431"/>
      <c r="J159" s="431"/>
      <c r="K159" s="431"/>
      <c r="L159" s="431"/>
      <c r="M159" s="221"/>
      <c r="N159" s="173"/>
      <c r="O159" s="94"/>
    </row>
    <row r="160" spans="2:21" ht="18.75" customHeight="1" thickBot="1" x14ac:dyDescent="0.35">
      <c r="B160" s="440"/>
      <c r="C160" s="196"/>
      <c r="D160" s="197" t="s">
        <v>392</v>
      </c>
      <c r="E160" s="192"/>
      <c r="F160" s="225" t="e">
        <f>(F156*$F$50/$F$58)</f>
        <v>#N/A</v>
      </c>
      <c r="G160" s="213" t="s">
        <v>19</v>
      </c>
      <c r="H160" s="196"/>
      <c r="I160" s="431"/>
      <c r="J160" s="431"/>
      <c r="K160" s="431"/>
      <c r="L160" s="431"/>
      <c r="M160" s="221"/>
      <c r="N160" s="173"/>
      <c r="O160" s="94"/>
      <c r="S160" s="206" t="s">
        <v>394</v>
      </c>
      <c r="T160" s="207"/>
      <c r="U160" s="208" t="e">
        <f>F160/$F$46</f>
        <v>#N/A</v>
      </c>
    </row>
    <row r="161" spans="2:25" ht="18.75" customHeight="1" thickBot="1" x14ac:dyDescent="0.3">
      <c r="B161" s="1"/>
      <c r="C161" s="11"/>
      <c r="D161" s="95"/>
      <c r="E161" s="94"/>
      <c r="F161" s="96"/>
      <c r="G161" s="97"/>
      <c r="H161" s="84"/>
      <c r="I161" s="84"/>
      <c r="J161" s="84"/>
      <c r="K161" s="84"/>
      <c r="L161" s="181"/>
      <c r="M161" s="180"/>
      <c r="N161" s="173"/>
      <c r="O161" s="84"/>
    </row>
    <row r="162" spans="2:25" ht="18.75" customHeight="1" thickBot="1" x14ac:dyDescent="0.3">
      <c r="B162" s="440" t="s">
        <v>393</v>
      </c>
      <c r="C162" s="198"/>
      <c r="D162" s="199" t="s">
        <v>390</v>
      </c>
      <c r="E162" s="196"/>
      <c r="F162" s="226">
        <v>30000</v>
      </c>
      <c r="G162" s="214" t="s">
        <v>19</v>
      </c>
      <c r="H162" s="220"/>
      <c r="I162" s="431" t="e">
        <f>IF(U166&lt;=0.75,$S$62,IF(U166&lt;=0.9,$S$63,IF(U166&lt;1,$S$64,IF(U166&gt;=1,$S$65))))</f>
        <v>#N/A</v>
      </c>
      <c r="J162" s="431"/>
      <c r="K162" s="431"/>
      <c r="L162" s="431"/>
      <c r="M162" s="221"/>
      <c r="N162" s="174"/>
      <c r="O162" s="84"/>
    </row>
    <row r="163" spans="2:25" ht="3.6" customHeight="1" thickBot="1" x14ac:dyDescent="0.3">
      <c r="B163" s="440"/>
      <c r="C163" s="198"/>
      <c r="D163" s="188"/>
      <c r="E163" s="201"/>
      <c r="F163" s="202"/>
      <c r="G163" s="215"/>
      <c r="H163" s="220"/>
      <c r="I163" s="431"/>
      <c r="J163" s="431"/>
      <c r="K163" s="431"/>
      <c r="L163" s="431"/>
      <c r="M163" s="221"/>
      <c r="N163" s="174"/>
      <c r="O163" s="84"/>
    </row>
    <row r="164" spans="2:25" ht="18.75" customHeight="1" thickBot="1" x14ac:dyDescent="0.35">
      <c r="B164" s="440"/>
      <c r="C164" s="198"/>
      <c r="D164" s="188" t="s">
        <v>391</v>
      </c>
      <c r="E164" s="198"/>
      <c r="F164" s="225" t="e">
        <f>(F162*$F$60/$F$58)</f>
        <v>#N/A</v>
      </c>
      <c r="G164" s="210" t="s">
        <v>16</v>
      </c>
      <c r="H164" s="222"/>
      <c r="I164" s="431"/>
      <c r="J164" s="431"/>
      <c r="K164" s="431"/>
      <c r="L164" s="431"/>
      <c r="M164" s="221"/>
      <c r="N164" s="174"/>
      <c r="O164" s="84"/>
    </row>
    <row r="165" spans="2:25" ht="3.6" customHeight="1" thickBot="1" x14ac:dyDescent="0.3">
      <c r="B165" s="440"/>
      <c r="C165" s="201"/>
      <c r="D165" s="203"/>
      <c r="E165" s="198"/>
      <c r="F165" s="204"/>
      <c r="G165" s="216"/>
      <c r="H165" s="223"/>
      <c r="I165" s="431"/>
      <c r="J165" s="431"/>
      <c r="K165" s="431"/>
      <c r="L165" s="431"/>
      <c r="M165" s="221"/>
      <c r="N165" s="175"/>
      <c r="O165" s="84"/>
    </row>
    <row r="166" spans="2:25" ht="18.75" customHeight="1" thickBot="1" x14ac:dyDescent="0.35">
      <c r="B166" s="440"/>
      <c r="C166" s="205"/>
      <c r="D166" s="188" t="s">
        <v>392</v>
      </c>
      <c r="E166" s="198"/>
      <c r="F166" s="225" t="e">
        <f>(F162*$F$50/$F$58)</f>
        <v>#N/A</v>
      </c>
      <c r="G166" s="213" t="s">
        <v>19</v>
      </c>
      <c r="H166" s="223"/>
      <c r="I166" s="431"/>
      <c r="J166" s="431"/>
      <c r="K166" s="431"/>
      <c r="L166" s="431"/>
      <c r="M166" s="221"/>
      <c r="N166" s="175"/>
      <c r="O166" s="84"/>
      <c r="S166" s="206" t="s">
        <v>395</v>
      </c>
      <c r="T166" s="207"/>
      <c r="U166" s="208" t="e">
        <f>F166/$F$46</f>
        <v>#N/A</v>
      </c>
    </row>
    <row r="167" spans="2:25" ht="3.6" customHeight="1" thickBot="1" x14ac:dyDescent="0.3">
      <c r="B167" s="59"/>
      <c r="C167" s="60"/>
      <c r="D167" s="61"/>
      <c r="E167" s="60"/>
      <c r="F167" s="62"/>
      <c r="G167" s="60"/>
      <c r="H167" s="184"/>
      <c r="I167" s="184"/>
      <c r="J167" s="184"/>
      <c r="K167" s="184"/>
      <c r="L167" s="185"/>
      <c r="M167" s="186"/>
      <c r="N167" s="171"/>
      <c r="O167" s="164"/>
    </row>
    <row r="168" spans="2:25" ht="18.75" customHeight="1" thickTop="1" thickBot="1" x14ac:dyDescent="0.3">
      <c r="D168" s="49"/>
      <c r="E168" s="236"/>
      <c r="H168" s="84"/>
      <c r="I168" s="236"/>
      <c r="J168" s="236"/>
      <c r="K168" s="236"/>
      <c r="L168" s="178"/>
      <c r="M168" s="178"/>
      <c r="N168" s="178"/>
      <c r="O168" s="236"/>
      <c r="T168" s="126" t="s">
        <v>383</v>
      </c>
      <c r="U168" s="126" t="s">
        <v>385</v>
      </c>
    </row>
    <row r="169" spans="2:25" ht="36" customHeight="1" thickTop="1" x14ac:dyDescent="0.25">
      <c r="B169" s="441" t="s">
        <v>406</v>
      </c>
      <c r="C169" s="442"/>
      <c r="D169" s="442"/>
      <c r="E169" s="442"/>
      <c r="F169" s="442"/>
      <c r="G169" s="442"/>
      <c r="H169" s="446" t="s">
        <v>401</v>
      </c>
      <c r="I169" s="446"/>
      <c r="J169" s="446"/>
      <c r="K169" s="446"/>
      <c r="L169" s="446"/>
      <c r="M169" s="447"/>
      <c r="N169" s="170"/>
      <c r="O169" s="167"/>
      <c r="S169" s="165" t="s">
        <v>384</v>
      </c>
      <c r="T169" s="131">
        <f>IF($F$11&lt;24,600,IF($F$11&gt;=24,600+$T$30))</f>
        <v>600</v>
      </c>
      <c r="U169" s="131">
        <f>IF(T169&lt;900,T169,900)</f>
        <v>600</v>
      </c>
    </row>
    <row r="170" spans="2:25" ht="18.75" customHeight="1" thickBot="1" x14ac:dyDescent="0.35">
      <c r="B170" s="443" t="str">
        <f>IF($F$36&lt;=150," ",IF($F$36&lt;=250,"PRESSURE IS ABOVE 150 PSIG - CONTACT APPLICATIONS ENGINEERING",IF($F$36&gt;250,"NOT RECOMMENDED FOR THE GIVEN PRESSURE")))</f>
        <v xml:space="preserve"> </v>
      </c>
      <c r="C170" s="444"/>
      <c r="D170" s="444"/>
      <c r="E170" s="444"/>
      <c r="F170" s="444"/>
      <c r="G170" s="444"/>
      <c r="H170" s="444" t="str">
        <f>IF($F$7=$Q$48,"THICKNESS APPLIES TO GYLON EPIX ONLY"," ")</f>
        <v xml:space="preserve"> </v>
      </c>
      <c r="I170" s="444"/>
      <c r="J170" s="444"/>
      <c r="K170" s="444"/>
      <c r="L170" s="444"/>
      <c r="M170" s="449"/>
      <c r="N170" s="174"/>
      <c r="O170" s="169"/>
      <c r="P170" s="71"/>
      <c r="Q170" s="71"/>
      <c r="R170" s="71"/>
      <c r="S170" s="81"/>
      <c r="T170" s="2"/>
      <c r="U170" s="143"/>
      <c r="V170" s="71"/>
      <c r="W170" s="71"/>
      <c r="X170" s="71"/>
      <c r="Y170" s="71"/>
    </row>
    <row r="171" spans="2:25" ht="18.75" customHeight="1" thickBot="1" x14ac:dyDescent="0.3">
      <c r="B171" s="58"/>
      <c r="C171" s="42"/>
      <c r="D171" s="15" t="s">
        <v>324</v>
      </c>
      <c r="E171" s="42"/>
      <c r="F171" s="231">
        <f>($F$36)</f>
        <v>0</v>
      </c>
      <c r="G171" s="13" t="s">
        <v>290</v>
      </c>
      <c r="H171" s="84"/>
      <c r="I171" s="84"/>
      <c r="J171" s="84"/>
      <c r="K171" s="84"/>
      <c r="L171" s="182"/>
      <c r="M171" s="183"/>
      <c r="N171" s="174"/>
      <c r="O171" s="236"/>
      <c r="S171" s="81"/>
      <c r="T171" s="2"/>
      <c r="U171" s="143"/>
      <c r="W171" s="7" t="s">
        <v>325</v>
      </c>
    </row>
    <row r="172" spans="2:25" ht="3" customHeight="1" thickBot="1" x14ac:dyDescent="0.3">
      <c r="B172" s="50"/>
      <c r="C172" s="43"/>
      <c r="D172" s="43"/>
      <c r="E172" s="43"/>
      <c r="F172" s="43"/>
      <c r="G172" s="43"/>
      <c r="H172" s="164"/>
      <c r="I172" s="164"/>
      <c r="J172" s="164"/>
      <c r="K172" s="164"/>
      <c r="L172" s="171"/>
      <c r="M172" s="179"/>
      <c r="N172" s="171"/>
      <c r="O172" s="164"/>
      <c r="S172" s="81"/>
      <c r="T172" s="2"/>
      <c r="U172" s="143"/>
    </row>
    <row r="173" spans="2:25" ht="18.75" customHeight="1" thickBot="1" x14ac:dyDescent="0.35">
      <c r="B173" s="1"/>
      <c r="C173" s="2"/>
      <c r="D173" s="17" t="s">
        <v>319</v>
      </c>
      <c r="E173" s="2"/>
      <c r="F173" s="228">
        <f>($F$7)</f>
        <v>0</v>
      </c>
      <c r="G173" s="14" t="s">
        <v>321</v>
      </c>
      <c r="H173" s="38"/>
      <c r="I173" s="445" t="s">
        <v>396</v>
      </c>
      <c r="J173" s="445"/>
      <c r="K173" s="445"/>
      <c r="L173" s="445"/>
      <c r="M173" s="217"/>
      <c r="N173" s="173"/>
      <c r="O173" s="38"/>
    </row>
    <row r="174" spans="2:25" ht="19.2" customHeight="1" thickBot="1" x14ac:dyDescent="0.35">
      <c r="B174" s="50"/>
      <c r="C174" s="227"/>
      <c r="D174" s="14"/>
      <c r="E174" s="2"/>
      <c r="F174" s="57"/>
      <c r="G174" s="14"/>
      <c r="H174" s="227"/>
      <c r="I174" s="227"/>
      <c r="J174" s="227"/>
      <c r="K174" s="46"/>
      <c r="L174" s="181"/>
      <c r="M174" s="180"/>
      <c r="N174" s="173"/>
      <c r="O174" s="46"/>
    </row>
    <row r="175" spans="2:25" ht="18.75" customHeight="1" thickBot="1" x14ac:dyDescent="0.3">
      <c r="B175" s="440" t="s">
        <v>389</v>
      </c>
      <c r="C175" s="187"/>
      <c r="D175" s="188" t="s">
        <v>390</v>
      </c>
      <c r="E175" s="189"/>
      <c r="F175" s="224">
        <f>U169</f>
        <v>600</v>
      </c>
      <c r="G175" s="210" t="s">
        <v>19</v>
      </c>
      <c r="H175" s="220"/>
      <c r="I175" s="431" t="e">
        <f>IF(U179&lt;=0.75,$S$62,IF(U179&lt;=0.9,$S$63,IF(U179&lt;1,$S$64,IF(U179&gt;=1,$S$65))))</f>
        <v>#N/A</v>
      </c>
      <c r="J175" s="431"/>
      <c r="K175" s="431"/>
      <c r="L175" s="431"/>
      <c r="M175" s="221"/>
      <c r="N175" s="173"/>
      <c r="O175" s="46"/>
    </row>
    <row r="176" spans="2:25" ht="3.6" customHeight="1" thickBot="1" x14ac:dyDescent="0.35">
      <c r="B176" s="440"/>
      <c r="C176" s="190"/>
      <c r="D176" s="191"/>
      <c r="E176" s="192"/>
      <c r="F176" s="193"/>
      <c r="G176" s="191"/>
      <c r="H176" s="190"/>
      <c r="I176" s="431"/>
      <c r="J176" s="431"/>
      <c r="K176" s="431"/>
      <c r="L176" s="431"/>
      <c r="M176" s="221"/>
      <c r="N176" s="173"/>
      <c r="O176" s="39"/>
      <c r="S176" s="7">
        <f>IF($F$26&lt;301,2500,IF($F$26&lt;801,4800,IF($F$26&lt;2001,7400,IF($F$26&gt;2000,$S$11))))</f>
        <v>2500</v>
      </c>
      <c r="T176" s="7">
        <f>IF($F$26&lt;301,3600,IF($F$26&lt;801,5400,IF($F$26&lt;2001,8400,IF($F$26&gt;2000,$S$11))))</f>
        <v>3600</v>
      </c>
    </row>
    <row r="177" spans="2:21" ht="18.75" customHeight="1" thickBot="1" x14ac:dyDescent="0.35">
      <c r="B177" s="440"/>
      <c r="C177" s="190"/>
      <c r="D177" s="194" t="s">
        <v>391</v>
      </c>
      <c r="E177" s="195"/>
      <c r="F177" s="225" t="e">
        <f>(F175*$F$60/$F$58)</f>
        <v>#N/A</v>
      </c>
      <c r="G177" s="211" t="s">
        <v>16</v>
      </c>
      <c r="H177" s="190"/>
      <c r="I177" s="431"/>
      <c r="J177" s="431"/>
      <c r="K177" s="431"/>
      <c r="L177" s="431"/>
      <c r="M177" s="221"/>
      <c r="N177" s="173"/>
      <c r="O177" s="39"/>
    </row>
    <row r="178" spans="2:21" ht="3.6" customHeight="1" thickBot="1" x14ac:dyDescent="0.35">
      <c r="B178" s="440"/>
      <c r="C178" s="196"/>
      <c r="D178" s="197"/>
      <c r="E178" s="192"/>
      <c r="F178" s="193"/>
      <c r="G178" s="212"/>
      <c r="H178" s="196"/>
      <c r="I178" s="431"/>
      <c r="J178" s="431"/>
      <c r="K178" s="431"/>
      <c r="L178" s="431"/>
      <c r="M178" s="221"/>
      <c r="N178" s="173"/>
      <c r="O178" s="94"/>
    </row>
    <row r="179" spans="2:21" ht="18.75" customHeight="1" thickBot="1" x14ac:dyDescent="0.35">
      <c r="B179" s="440"/>
      <c r="C179" s="196"/>
      <c r="D179" s="197" t="s">
        <v>392</v>
      </c>
      <c r="E179" s="192"/>
      <c r="F179" s="225" t="e">
        <f>(F175*$F$50/$F$58)</f>
        <v>#N/A</v>
      </c>
      <c r="G179" s="213" t="s">
        <v>19</v>
      </c>
      <c r="H179" s="196"/>
      <c r="I179" s="431"/>
      <c r="J179" s="431"/>
      <c r="K179" s="431"/>
      <c r="L179" s="431"/>
      <c r="M179" s="221"/>
      <c r="N179" s="173"/>
      <c r="O179" s="94"/>
      <c r="S179" s="206" t="s">
        <v>394</v>
      </c>
      <c r="T179" s="207"/>
      <c r="U179" s="208" t="e">
        <f>F179/$F$46</f>
        <v>#N/A</v>
      </c>
    </row>
    <row r="180" spans="2:21" ht="18.75" customHeight="1" thickBot="1" x14ac:dyDescent="0.3">
      <c r="B180" s="1"/>
      <c r="C180" s="11"/>
      <c r="D180" s="95"/>
      <c r="E180" s="94"/>
      <c r="F180" s="96"/>
      <c r="G180" s="97"/>
      <c r="H180" s="84"/>
      <c r="I180" s="84"/>
      <c r="J180" s="84"/>
      <c r="K180" s="84"/>
      <c r="L180" s="181"/>
      <c r="M180" s="180"/>
      <c r="N180" s="173"/>
      <c r="O180" s="84"/>
    </row>
    <row r="181" spans="2:21" ht="18.75" customHeight="1" thickBot="1" x14ac:dyDescent="0.3">
      <c r="B181" s="440" t="s">
        <v>393</v>
      </c>
      <c r="C181" s="198"/>
      <c r="D181" s="199" t="s">
        <v>390</v>
      </c>
      <c r="E181" s="196"/>
      <c r="F181" s="226">
        <v>900</v>
      </c>
      <c r="G181" s="214" t="s">
        <v>19</v>
      </c>
      <c r="H181" s="220"/>
      <c r="I181" s="431" t="e">
        <f>IF(U185&lt;=0.75,$S$62,IF(U185&lt;=0.9,$S$63,IF(U185&lt;1,$S$64,IF(U185&gt;=1,$S$65))))</f>
        <v>#N/A</v>
      </c>
      <c r="J181" s="431"/>
      <c r="K181" s="431"/>
      <c r="L181" s="431"/>
      <c r="M181" s="221"/>
      <c r="N181" s="174"/>
      <c r="O181" s="84"/>
    </row>
    <row r="182" spans="2:21" ht="3.6" customHeight="1" thickBot="1" x14ac:dyDescent="0.3">
      <c r="B182" s="440"/>
      <c r="C182" s="198"/>
      <c r="D182" s="188"/>
      <c r="E182" s="201"/>
      <c r="F182" s="202"/>
      <c r="G182" s="215"/>
      <c r="H182" s="220"/>
      <c r="I182" s="431"/>
      <c r="J182" s="431"/>
      <c r="K182" s="431"/>
      <c r="L182" s="431"/>
      <c r="M182" s="221"/>
      <c r="N182" s="174"/>
      <c r="O182" s="84"/>
    </row>
    <row r="183" spans="2:21" ht="18.75" customHeight="1" thickBot="1" x14ac:dyDescent="0.35">
      <c r="B183" s="440"/>
      <c r="C183" s="198"/>
      <c r="D183" s="188" t="s">
        <v>391</v>
      </c>
      <c r="E183" s="198"/>
      <c r="F183" s="225" t="e">
        <f>(F181*$F$60/$F$58)</f>
        <v>#N/A</v>
      </c>
      <c r="G183" s="210" t="s">
        <v>16</v>
      </c>
      <c r="H183" s="222"/>
      <c r="I183" s="431"/>
      <c r="J183" s="431"/>
      <c r="K183" s="431"/>
      <c r="L183" s="431"/>
      <c r="M183" s="221"/>
      <c r="N183" s="174"/>
      <c r="O183" s="84"/>
    </row>
    <row r="184" spans="2:21" ht="3.6" customHeight="1" thickBot="1" x14ac:dyDescent="0.3">
      <c r="B184" s="440"/>
      <c r="C184" s="201"/>
      <c r="D184" s="203"/>
      <c r="E184" s="198"/>
      <c r="F184" s="204"/>
      <c r="G184" s="216"/>
      <c r="H184" s="223"/>
      <c r="I184" s="431"/>
      <c r="J184" s="431"/>
      <c r="K184" s="431"/>
      <c r="L184" s="431"/>
      <c r="M184" s="221"/>
      <c r="N184" s="175"/>
      <c r="O184" s="84"/>
    </row>
    <row r="185" spans="2:21" ht="18.75" customHeight="1" thickBot="1" x14ac:dyDescent="0.35">
      <c r="B185" s="440"/>
      <c r="C185" s="205"/>
      <c r="D185" s="188" t="s">
        <v>392</v>
      </c>
      <c r="E185" s="198"/>
      <c r="F185" s="225" t="e">
        <f>(F181*$F$50/$F$58)</f>
        <v>#N/A</v>
      </c>
      <c r="G185" s="213" t="s">
        <v>19</v>
      </c>
      <c r="H185" s="223"/>
      <c r="I185" s="431"/>
      <c r="J185" s="431"/>
      <c r="K185" s="431"/>
      <c r="L185" s="431"/>
      <c r="M185" s="221"/>
      <c r="N185" s="175"/>
      <c r="O185" s="84"/>
      <c r="S185" s="206" t="s">
        <v>395</v>
      </c>
      <c r="T185" s="207"/>
      <c r="U185" s="208" t="e">
        <f>F185/$F$46</f>
        <v>#N/A</v>
      </c>
    </row>
    <row r="186" spans="2:21" ht="3" customHeight="1" thickBot="1" x14ac:dyDescent="0.3">
      <c r="B186" s="59"/>
      <c r="C186" s="60"/>
      <c r="D186" s="61"/>
      <c r="E186" s="60"/>
      <c r="F186" s="62"/>
      <c r="G186" s="60"/>
      <c r="H186" s="184"/>
      <c r="I186" s="184"/>
      <c r="J186" s="184"/>
      <c r="K186" s="184"/>
      <c r="L186" s="185"/>
      <c r="M186" s="186"/>
      <c r="N186" s="171"/>
      <c r="O186" s="164"/>
    </row>
    <row r="187" spans="2:21" ht="18.75" customHeight="1" thickTop="1" thickBot="1" x14ac:dyDescent="0.3">
      <c r="B187" s="218"/>
      <c r="C187" s="357"/>
      <c r="D187" s="357"/>
      <c r="E187" s="357"/>
      <c r="F187" s="357"/>
      <c r="G187" s="357"/>
      <c r="H187" s="84"/>
      <c r="I187" s="236"/>
      <c r="J187" s="236"/>
      <c r="K187" s="236"/>
      <c r="L187" s="178"/>
      <c r="M187" s="178"/>
      <c r="N187" s="178"/>
      <c r="O187" s="236"/>
      <c r="T187" s="126" t="s">
        <v>383</v>
      </c>
      <c r="U187" s="126" t="s">
        <v>385</v>
      </c>
    </row>
    <row r="188" spans="2:21" ht="36" customHeight="1" thickTop="1" x14ac:dyDescent="0.25">
      <c r="B188" s="441" t="s">
        <v>407</v>
      </c>
      <c r="C188" s="442"/>
      <c r="D188" s="442"/>
      <c r="E188" s="442"/>
      <c r="F188" s="442"/>
      <c r="G188" s="442"/>
      <c r="H188" s="446" t="s">
        <v>401</v>
      </c>
      <c r="I188" s="446"/>
      <c r="J188" s="446"/>
      <c r="K188" s="446"/>
      <c r="L188" s="446"/>
      <c r="M188" s="447"/>
      <c r="N188" s="170"/>
      <c r="O188" s="167"/>
      <c r="S188" s="165" t="s">
        <v>386</v>
      </c>
      <c r="T188" s="131">
        <f>IF($F$11&lt;24,600,IF($F$11&gt;=24,600+$T$30))</f>
        <v>600</v>
      </c>
      <c r="U188" s="131">
        <f>IF(T188&lt;1200,T188,1200)</f>
        <v>600</v>
      </c>
    </row>
    <row r="189" spans="2:21" ht="18.75" customHeight="1" thickBot="1" x14ac:dyDescent="0.35">
      <c r="B189" s="443" t="str">
        <f>IF($F$36&lt;=150," ",IF($F$36&lt;=250,"PRESSURE IS ABOVE 150 PSIG - CONTACT APPLICATIONS ENGINEERING",IF($F$36&gt;250,"NOT RECOMMENDED FOR THE GIVEN PRESSURE")))</f>
        <v xml:space="preserve"> </v>
      </c>
      <c r="C189" s="444"/>
      <c r="D189" s="444"/>
      <c r="E189" s="444"/>
      <c r="F189" s="444"/>
      <c r="G189" s="444"/>
      <c r="H189" s="444" t="str">
        <f>IF($F$7=$Q$48,"THICKNESS APPLIES TO GYLON EPIX ONLY"," ")</f>
        <v xml:space="preserve"> </v>
      </c>
      <c r="I189" s="444"/>
      <c r="J189" s="444"/>
      <c r="K189" s="444"/>
      <c r="L189" s="444"/>
      <c r="M189" s="449"/>
      <c r="N189" s="174"/>
      <c r="O189" s="169"/>
    </row>
    <row r="190" spans="2:21" ht="18.75" customHeight="1" thickBot="1" x14ac:dyDescent="0.3">
      <c r="B190" s="58"/>
      <c r="C190" s="42"/>
      <c r="D190" s="15" t="s">
        <v>324</v>
      </c>
      <c r="E190" s="42"/>
      <c r="F190" s="231">
        <f>($F$36)</f>
        <v>0</v>
      </c>
      <c r="G190" s="13" t="s">
        <v>290</v>
      </c>
      <c r="H190" s="84"/>
      <c r="I190" s="84"/>
      <c r="J190" s="84"/>
      <c r="K190" s="84"/>
      <c r="L190" s="182"/>
      <c r="M190" s="183"/>
      <c r="N190" s="174"/>
      <c r="O190" s="236"/>
    </row>
    <row r="191" spans="2:21" ht="3" customHeight="1" thickBot="1" x14ac:dyDescent="0.3">
      <c r="B191" s="50"/>
      <c r="C191" s="43"/>
      <c r="D191" s="43"/>
      <c r="E191" s="43"/>
      <c r="F191" s="43"/>
      <c r="G191" s="43"/>
      <c r="H191" s="164"/>
      <c r="I191" s="164"/>
      <c r="J191" s="164"/>
      <c r="K191" s="164"/>
      <c r="L191" s="171"/>
      <c r="M191" s="179"/>
      <c r="N191" s="171"/>
      <c r="O191" s="164"/>
    </row>
    <row r="192" spans="2:21" ht="18.75" customHeight="1" thickBot="1" x14ac:dyDescent="0.35">
      <c r="B192" s="1"/>
      <c r="C192" s="2"/>
      <c r="D192" s="17" t="s">
        <v>319</v>
      </c>
      <c r="E192" s="2"/>
      <c r="F192" s="228">
        <f>($F$7)</f>
        <v>0</v>
      </c>
      <c r="G192" s="14" t="s">
        <v>321</v>
      </c>
      <c r="H192" s="38"/>
      <c r="I192" s="445" t="s">
        <v>396</v>
      </c>
      <c r="J192" s="445"/>
      <c r="K192" s="445"/>
      <c r="L192" s="445"/>
      <c r="M192" s="217"/>
      <c r="N192" s="173"/>
      <c r="O192" s="38"/>
    </row>
    <row r="193" spans="2:21" ht="19.2" customHeight="1" thickBot="1" x14ac:dyDescent="0.35">
      <c r="B193" s="50"/>
      <c r="C193" s="227"/>
      <c r="D193" s="14"/>
      <c r="E193" s="2"/>
      <c r="F193" s="57"/>
      <c r="G193" s="14"/>
      <c r="H193" s="227"/>
      <c r="I193" s="227"/>
      <c r="J193" s="227"/>
      <c r="K193" s="46"/>
      <c r="L193" s="181"/>
      <c r="M193" s="180"/>
      <c r="N193" s="173"/>
      <c r="O193" s="46"/>
    </row>
    <row r="194" spans="2:21" ht="18.75" customHeight="1" thickBot="1" x14ac:dyDescent="0.3">
      <c r="B194" s="440" t="s">
        <v>389</v>
      </c>
      <c r="C194" s="187"/>
      <c r="D194" s="188" t="s">
        <v>390</v>
      </c>
      <c r="E194" s="189"/>
      <c r="F194" s="224">
        <f>U188</f>
        <v>600</v>
      </c>
      <c r="G194" s="210" t="s">
        <v>19</v>
      </c>
      <c r="H194" s="220"/>
      <c r="I194" s="431" t="e">
        <f>IF(U198&lt;=0.75,$S$62,IF(U198&lt;=0.9,$S$63,IF(U198&lt;1,$S$64,IF(U198&gt;=1,$S$65))))</f>
        <v>#N/A</v>
      </c>
      <c r="J194" s="431"/>
      <c r="K194" s="431"/>
      <c r="L194" s="431"/>
      <c r="M194" s="221"/>
      <c r="N194" s="173"/>
      <c r="O194" s="46"/>
    </row>
    <row r="195" spans="2:21" ht="3.6" customHeight="1" thickBot="1" x14ac:dyDescent="0.35">
      <c r="B195" s="440"/>
      <c r="C195" s="190"/>
      <c r="D195" s="191"/>
      <c r="E195" s="192"/>
      <c r="F195" s="193"/>
      <c r="G195" s="191"/>
      <c r="H195" s="190"/>
      <c r="I195" s="431"/>
      <c r="J195" s="431"/>
      <c r="K195" s="431"/>
      <c r="L195" s="431"/>
      <c r="M195" s="221"/>
      <c r="N195" s="173"/>
      <c r="O195" s="39"/>
      <c r="S195" s="7">
        <f>IF($F$26&lt;301,2500,IF($F$26&lt;801,4800,IF($F$26&lt;2001,7400,IF($F$26&gt;2000,$S$11))))</f>
        <v>2500</v>
      </c>
      <c r="T195" s="7">
        <f>IF($F$26&lt;301,3600,IF($F$26&lt;801,5400,IF($F$26&lt;2001,8400,IF($F$26&gt;2000,$S$11))))</f>
        <v>3600</v>
      </c>
    </row>
    <row r="196" spans="2:21" ht="18.75" customHeight="1" thickBot="1" x14ac:dyDescent="0.35">
      <c r="B196" s="440"/>
      <c r="C196" s="190"/>
      <c r="D196" s="194" t="s">
        <v>391</v>
      </c>
      <c r="E196" s="195"/>
      <c r="F196" s="225" t="e">
        <f>(F194*$F$60/$F$58)</f>
        <v>#N/A</v>
      </c>
      <c r="G196" s="211" t="s">
        <v>16</v>
      </c>
      <c r="H196" s="190"/>
      <c r="I196" s="431"/>
      <c r="J196" s="431"/>
      <c r="K196" s="431"/>
      <c r="L196" s="431"/>
      <c r="M196" s="221"/>
      <c r="N196" s="173"/>
      <c r="O196" s="39"/>
    </row>
    <row r="197" spans="2:21" ht="3.6" customHeight="1" thickBot="1" x14ac:dyDescent="0.35">
      <c r="B197" s="440"/>
      <c r="C197" s="196"/>
      <c r="D197" s="197"/>
      <c r="E197" s="192"/>
      <c r="F197" s="193"/>
      <c r="G197" s="212"/>
      <c r="H197" s="196"/>
      <c r="I197" s="431"/>
      <c r="J197" s="431"/>
      <c r="K197" s="431"/>
      <c r="L197" s="431"/>
      <c r="M197" s="221"/>
      <c r="N197" s="173"/>
      <c r="O197" s="94"/>
    </row>
    <row r="198" spans="2:21" ht="18.75" customHeight="1" thickBot="1" x14ac:dyDescent="0.35">
      <c r="B198" s="440"/>
      <c r="C198" s="196"/>
      <c r="D198" s="197" t="s">
        <v>392</v>
      </c>
      <c r="E198" s="192"/>
      <c r="F198" s="225" t="e">
        <f>(F194*$F$50/$F$58)</f>
        <v>#N/A</v>
      </c>
      <c r="G198" s="213" t="s">
        <v>19</v>
      </c>
      <c r="H198" s="196"/>
      <c r="I198" s="431"/>
      <c r="J198" s="431"/>
      <c r="K198" s="431"/>
      <c r="L198" s="431"/>
      <c r="M198" s="221"/>
      <c r="N198" s="173"/>
      <c r="O198" s="94"/>
      <c r="S198" s="206" t="s">
        <v>394</v>
      </c>
      <c r="T198" s="207"/>
      <c r="U198" s="208" t="e">
        <f>F198/$F$46</f>
        <v>#N/A</v>
      </c>
    </row>
    <row r="199" spans="2:21" ht="18.75" customHeight="1" thickBot="1" x14ac:dyDescent="0.3">
      <c r="B199" s="1"/>
      <c r="C199" s="11"/>
      <c r="D199" s="95"/>
      <c r="E199" s="94"/>
      <c r="F199" s="96"/>
      <c r="G199" s="97"/>
      <c r="H199" s="84"/>
      <c r="I199" s="84"/>
      <c r="J199" s="84"/>
      <c r="K199" s="84"/>
      <c r="L199" s="181"/>
      <c r="M199" s="180"/>
      <c r="N199" s="173"/>
      <c r="O199" s="84"/>
    </row>
    <row r="200" spans="2:21" ht="18.75" customHeight="1" thickBot="1" x14ac:dyDescent="0.3">
      <c r="B200" s="440" t="s">
        <v>393</v>
      </c>
      <c r="C200" s="198"/>
      <c r="D200" s="199" t="s">
        <v>390</v>
      </c>
      <c r="E200" s="196"/>
      <c r="F200" s="226">
        <v>1200</v>
      </c>
      <c r="G200" s="214" t="s">
        <v>19</v>
      </c>
      <c r="H200" s="220"/>
      <c r="I200" s="431" t="e">
        <f>IF(U204&lt;=0.75,$S$62,IF(U204&lt;=0.9,$S$63,IF(U204&lt;1,$S$64,IF(U204&gt;=1,$S$65))))</f>
        <v>#N/A</v>
      </c>
      <c r="J200" s="431"/>
      <c r="K200" s="431"/>
      <c r="L200" s="431"/>
      <c r="M200" s="221"/>
      <c r="N200" s="174"/>
      <c r="O200" s="84"/>
    </row>
    <row r="201" spans="2:21" ht="3.6" customHeight="1" thickBot="1" x14ac:dyDescent="0.3">
      <c r="B201" s="440"/>
      <c r="C201" s="198"/>
      <c r="D201" s="188"/>
      <c r="E201" s="201"/>
      <c r="F201" s="202"/>
      <c r="G201" s="215"/>
      <c r="H201" s="220"/>
      <c r="I201" s="431"/>
      <c r="J201" s="431"/>
      <c r="K201" s="431"/>
      <c r="L201" s="431"/>
      <c r="M201" s="221"/>
      <c r="N201" s="174"/>
      <c r="O201" s="84"/>
    </row>
    <row r="202" spans="2:21" ht="18.75" customHeight="1" thickBot="1" x14ac:dyDescent="0.35">
      <c r="B202" s="440"/>
      <c r="C202" s="198"/>
      <c r="D202" s="188" t="s">
        <v>391</v>
      </c>
      <c r="E202" s="198"/>
      <c r="F202" s="225" t="e">
        <f>(F200*$F$60/$F$58)</f>
        <v>#N/A</v>
      </c>
      <c r="G202" s="210" t="s">
        <v>16</v>
      </c>
      <c r="H202" s="222"/>
      <c r="I202" s="431"/>
      <c r="J202" s="431"/>
      <c r="K202" s="431"/>
      <c r="L202" s="431"/>
      <c r="M202" s="221"/>
      <c r="N202" s="174"/>
      <c r="O202" s="84"/>
    </row>
    <row r="203" spans="2:21" ht="3.6" customHeight="1" thickBot="1" x14ac:dyDescent="0.3">
      <c r="B203" s="440"/>
      <c r="C203" s="201"/>
      <c r="D203" s="203"/>
      <c r="E203" s="198"/>
      <c r="F203" s="204"/>
      <c r="G203" s="216"/>
      <c r="H203" s="223"/>
      <c r="I203" s="431"/>
      <c r="J203" s="431"/>
      <c r="K203" s="431"/>
      <c r="L203" s="431"/>
      <c r="M203" s="221"/>
      <c r="N203" s="175"/>
      <c r="O203" s="84"/>
    </row>
    <row r="204" spans="2:21" ht="18.75" customHeight="1" thickBot="1" x14ac:dyDescent="0.35">
      <c r="B204" s="440"/>
      <c r="C204" s="205"/>
      <c r="D204" s="188" t="s">
        <v>392</v>
      </c>
      <c r="E204" s="198"/>
      <c r="F204" s="225" t="e">
        <f>(F200*$F$50/$F$58)</f>
        <v>#N/A</v>
      </c>
      <c r="G204" s="213" t="s">
        <v>19</v>
      </c>
      <c r="H204" s="223"/>
      <c r="I204" s="431"/>
      <c r="J204" s="431"/>
      <c r="K204" s="431"/>
      <c r="L204" s="431"/>
      <c r="M204" s="221"/>
      <c r="N204" s="175"/>
      <c r="O204" s="84"/>
      <c r="S204" s="206" t="s">
        <v>395</v>
      </c>
      <c r="T204" s="207"/>
      <c r="U204" s="208" t="e">
        <f>F204/$F$46</f>
        <v>#N/A</v>
      </c>
    </row>
    <row r="205" spans="2:21" ht="2.4" customHeight="1" thickBot="1" x14ac:dyDescent="0.3">
      <c r="B205" s="59"/>
      <c r="C205" s="60"/>
      <c r="D205" s="61"/>
      <c r="E205" s="60"/>
      <c r="F205" s="62"/>
      <c r="G205" s="60"/>
      <c r="H205" s="184"/>
      <c r="I205" s="184"/>
      <c r="J205" s="184"/>
      <c r="K205" s="184"/>
      <c r="L205" s="184"/>
      <c r="M205" s="219"/>
      <c r="N205" s="164"/>
      <c r="O205" s="164"/>
    </row>
    <row r="206" spans="2:21" ht="18.75" customHeight="1" thickTop="1" x14ac:dyDescent="0.25"/>
    <row r="207" spans="2:21" ht="18.75" hidden="1" customHeight="1" x14ac:dyDescent="0.25"/>
    <row r="208" spans="2:21" ht="18.75" hidden="1" customHeight="1" x14ac:dyDescent="0.25"/>
    <row r="209" ht="18.75" hidden="1" customHeight="1" x14ac:dyDescent="0.25"/>
    <row r="210" ht="18.75" hidden="1" customHeight="1" x14ac:dyDescent="0.25"/>
    <row r="211" ht="18.75" hidden="1" customHeight="1" x14ac:dyDescent="0.25"/>
    <row r="212" ht="18.75" hidden="1" customHeight="1" x14ac:dyDescent="0.25"/>
    <row r="213" ht="18.75" hidden="1" customHeight="1" x14ac:dyDescent="0.25"/>
    <row r="214" ht="18.75" hidden="1" customHeight="1" x14ac:dyDescent="0.25"/>
    <row r="215" ht="18.75" hidden="1" customHeight="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spans="28:31" hidden="1" x14ac:dyDescent="0.25"/>
    <row r="258" spans="28:31" hidden="1" x14ac:dyDescent="0.25"/>
    <row r="259" spans="28:31" hidden="1" x14ac:dyDescent="0.25">
      <c r="AB259" s="7" t="s">
        <v>41</v>
      </c>
      <c r="AD259" s="28">
        <v>0.25</v>
      </c>
      <c r="AE259" s="7" t="e">
        <f>LOOKUP($F$44,BOLT!$A$1:$A$39,BOLT!B$1:B$39)</f>
        <v>#N/A</v>
      </c>
    </row>
    <row r="260" spans="28:31" hidden="1" x14ac:dyDescent="0.25">
      <c r="AB260" s="7" t="s">
        <v>42</v>
      </c>
      <c r="AD260" s="28">
        <v>0.3125</v>
      </c>
      <c r="AE260" s="7" t="e">
        <f>LOOKUP($F$44,BOLT!$A$1:$A$39,BOLT!C$1:C$39)</f>
        <v>#N/A</v>
      </c>
    </row>
    <row r="261" spans="28:31" hidden="1" x14ac:dyDescent="0.25">
      <c r="AB261" s="7" t="s">
        <v>43</v>
      </c>
      <c r="AD261" s="28">
        <v>0.375</v>
      </c>
      <c r="AE261" s="7" t="e">
        <f>LOOKUP($F$44,BOLT!$A$1:$A$39,BOLT!D$1:D$39)</f>
        <v>#N/A</v>
      </c>
    </row>
    <row r="262" spans="28:31" hidden="1" x14ac:dyDescent="0.25">
      <c r="AB262" s="7" t="s">
        <v>44</v>
      </c>
      <c r="AD262" s="28">
        <v>0.4375</v>
      </c>
      <c r="AE262" s="7" t="e">
        <f>LOOKUP($F$44,BOLT!$A$1:$A$39,BOLT!E$1:E$39)</f>
        <v>#N/A</v>
      </c>
    </row>
    <row r="263" spans="28:31" hidden="1" x14ac:dyDescent="0.25">
      <c r="AB263" s="7" t="s">
        <v>45</v>
      </c>
      <c r="AD263" s="28">
        <v>0.5</v>
      </c>
      <c r="AE263" s="7" t="e">
        <f>LOOKUP($F$44,BOLT!$A$1:$A$39,BOLT!F$1:F$39)</f>
        <v>#N/A</v>
      </c>
    </row>
    <row r="264" spans="28:31" hidden="1" x14ac:dyDescent="0.25">
      <c r="AB264" s="7" t="s">
        <v>46</v>
      </c>
      <c r="AD264" s="28">
        <v>0.5625</v>
      </c>
      <c r="AE264" s="7" t="e">
        <f>LOOKUP($F$44,BOLT!$A$1:$A$39,BOLT!G$1:G$39)</f>
        <v>#N/A</v>
      </c>
    </row>
    <row r="265" spans="28:31" hidden="1" x14ac:dyDescent="0.25">
      <c r="AB265" s="7" t="s">
        <v>47</v>
      </c>
      <c r="AD265" s="28">
        <v>0.625</v>
      </c>
      <c r="AE265" s="7" t="e">
        <f>LOOKUP($F$44,BOLT!$A$1:$A$39,BOLT!H$1:H$39)</f>
        <v>#N/A</v>
      </c>
    </row>
    <row r="266" spans="28:31" hidden="1" x14ac:dyDescent="0.25">
      <c r="AB266" s="7" t="s">
        <v>48</v>
      </c>
      <c r="AD266" s="28">
        <v>0.75</v>
      </c>
      <c r="AE266" s="7" t="e">
        <f>LOOKUP($F$44,BOLT!$A$1:$A$39,BOLT!I$1:I$39)</f>
        <v>#N/A</v>
      </c>
    </row>
    <row r="267" spans="28:31" hidden="1" x14ac:dyDescent="0.25">
      <c r="AB267" s="7" t="s">
        <v>49</v>
      </c>
      <c r="AD267" s="28">
        <v>0.875</v>
      </c>
      <c r="AE267" s="7" t="e">
        <f>LOOKUP($F$44,BOLT!$A$1:$A$39,BOLT!J$1:J$39)</f>
        <v>#N/A</v>
      </c>
    </row>
    <row r="268" spans="28:31" hidden="1" x14ac:dyDescent="0.25">
      <c r="AB268" s="7" t="s">
        <v>50</v>
      </c>
      <c r="AD268" s="28">
        <v>1</v>
      </c>
      <c r="AE268" s="7" t="e">
        <f>LOOKUP($F$44,BOLT!$A$1:$A$39,BOLT!K$1:K$39)</f>
        <v>#N/A</v>
      </c>
    </row>
    <row r="269" spans="28:31" hidden="1" x14ac:dyDescent="0.25">
      <c r="AB269" s="7" t="s">
        <v>51</v>
      </c>
      <c r="AD269" s="28">
        <v>1.125</v>
      </c>
      <c r="AE269" s="7" t="e">
        <f>LOOKUP($F$44,BOLT!$A$1:$A$39,BOLT!L$1:L$39)</f>
        <v>#N/A</v>
      </c>
    </row>
    <row r="270" spans="28:31" hidden="1" x14ac:dyDescent="0.25">
      <c r="AB270" s="7" t="s">
        <v>52</v>
      </c>
      <c r="AD270" s="28">
        <v>1.25</v>
      </c>
      <c r="AE270" s="7" t="e">
        <f>LOOKUP($F$44,BOLT!$A$1:$A$39,BOLT!M$1:M$39)</f>
        <v>#N/A</v>
      </c>
    </row>
    <row r="271" spans="28:31" hidden="1" x14ac:dyDescent="0.25">
      <c r="AB271" s="7" t="s">
        <v>53</v>
      </c>
      <c r="AD271" s="28">
        <v>1.375</v>
      </c>
      <c r="AE271" s="7" t="e">
        <f>LOOKUP($F$44,BOLT!$A$1:$A$39,BOLT!N$1:N$39)</f>
        <v>#N/A</v>
      </c>
    </row>
    <row r="272" spans="28:31" hidden="1" x14ac:dyDescent="0.25">
      <c r="AB272" s="7" t="s">
        <v>54</v>
      </c>
      <c r="AD272" s="28">
        <v>1.5</v>
      </c>
      <c r="AE272" s="7" t="e">
        <f>LOOKUP($F$44,BOLT!$A$1:$A$39,BOLT!O$1:O$39)</f>
        <v>#N/A</v>
      </c>
    </row>
    <row r="273" spans="28:31" hidden="1" x14ac:dyDescent="0.25">
      <c r="AB273" s="7" t="s">
        <v>55</v>
      </c>
      <c r="AD273" s="28">
        <v>1.625</v>
      </c>
      <c r="AE273" s="7" t="e">
        <f>LOOKUP($F$44,BOLT!$A$1:$A$39,BOLT!P$1:P$39)</f>
        <v>#N/A</v>
      </c>
    </row>
    <row r="274" spans="28:31" hidden="1" x14ac:dyDescent="0.25">
      <c r="AB274" s="7" t="s">
        <v>57</v>
      </c>
      <c r="AD274" s="28">
        <v>1.75</v>
      </c>
      <c r="AE274" s="7" t="e">
        <f>LOOKUP($F$44,BOLT!$A$1:$A$39,BOLT!Q$1:Q$39)</f>
        <v>#N/A</v>
      </c>
    </row>
    <row r="275" spans="28:31" hidden="1" x14ac:dyDescent="0.25">
      <c r="AB275" s="7" t="s">
        <v>58</v>
      </c>
      <c r="AD275" s="28">
        <v>1.875</v>
      </c>
      <c r="AE275" s="7" t="e">
        <f>LOOKUP($F$44,BOLT!$A$1:$A$39,BOLT!R$1:R$39)</f>
        <v>#N/A</v>
      </c>
    </row>
    <row r="276" spans="28:31" hidden="1" x14ac:dyDescent="0.25">
      <c r="AB276" s="7" t="s">
        <v>59</v>
      </c>
      <c r="AD276" s="28">
        <v>2</v>
      </c>
      <c r="AE276" s="7" t="e">
        <f>LOOKUP($F$44,BOLT!$A$1:$A$39,BOLT!S$1:S$39)</f>
        <v>#N/A</v>
      </c>
    </row>
    <row r="277" spans="28:31" hidden="1" x14ac:dyDescent="0.25">
      <c r="AB277" s="7" t="s">
        <v>60</v>
      </c>
      <c r="AD277" s="28">
        <v>2.25</v>
      </c>
      <c r="AE277" s="7" t="e">
        <f>LOOKUP($F$44,BOLT!$A$1:$A$39,BOLT!T$1:T$39)</f>
        <v>#N/A</v>
      </c>
    </row>
    <row r="278" spans="28:31" hidden="1" x14ac:dyDescent="0.25">
      <c r="AB278" s="7" t="s">
        <v>61</v>
      </c>
      <c r="AD278" s="28">
        <v>2.5</v>
      </c>
      <c r="AE278" s="7" t="e">
        <f>LOOKUP($F$44,BOLT!$A$1:$A$39,BOLT!U$1:U$39)</f>
        <v>#N/A</v>
      </c>
    </row>
    <row r="279" spans="28:31" hidden="1" x14ac:dyDescent="0.25">
      <c r="AB279" s="7" t="s">
        <v>62</v>
      </c>
      <c r="AD279" s="28">
        <v>2.75</v>
      </c>
      <c r="AE279" s="7" t="e">
        <f>LOOKUP($F$44,BOLT!$A$1:$A$39,BOLT!V$1:V$39)</f>
        <v>#N/A</v>
      </c>
    </row>
    <row r="280" spans="28:31" hidden="1" x14ac:dyDescent="0.25">
      <c r="AB280" s="7" t="s">
        <v>63</v>
      </c>
      <c r="AD280" s="28">
        <v>3</v>
      </c>
      <c r="AE280" s="7" t="e">
        <f>LOOKUP($F$44,BOLT!$A$1:$A$39,BOLT!W$1:W$39)</f>
        <v>#N/A</v>
      </c>
    </row>
    <row r="281" spans="28:31" hidden="1" x14ac:dyDescent="0.25">
      <c r="AB281" s="7" t="s">
        <v>64</v>
      </c>
    </row>
    <row r="282" spans="28:31" hidden="1" x14ac:dyDescent="0.25">
      <c r="AB282" s="7" t="s">
        <v>65</v>
      </c>
    </row>
    <row r="283" spans="28:31" hidden="1" x14ac:dyDescent="0.25">
      <c r="AB283" s="7" t="s">
        <v>66</v>
      </c>
    </row>
    <row r="284" spans="28:31" hidden="1" x14ac:dyDescent="0.25">
      <c r="AB284" s="7" t="s">
        <v>67</v>
      </c>
    </row>
    <row r="285" spans="28:31" hidden="1" x14ac:dyDescent="0.25">
      <c r="AB285" s="7" t="s">
        <v>68</v>
      </c>
    </row>
    <row r="286" spans="28:31" hidden="1" x14ac:dyDescent="0.25">
      <c r="AB286" s="7" t="s">
        <v>69</v>
      </c>
    </row>
    <row r="287" spans="28:31" hidden="1" x14ac:dyDescent="0.25">
      <c r="AB287" s="7" t="s">
        <v>70</v>
      </c>
    </row>
    <row r="288" spans="28:31" hidden="1" x14ac:dyDescent="0.25">
      <c r="AB288" s="7" t="s">
        <v>71</v>
      </c>
    </row>
    <row r="289" spans="28:28" hidden="1" x14ac:dyDescent="0.25">
      <c r="AB289" s="7" t="s">
        <v>72</v>
      </c>
    </row>
    <row r="290" spans="28:28" hidden="1" x14ac:dyDescent="0.25">
      <c r="AB290" s="7" t="s">
        <v>73</v>
      </c>
    </row>
    <row r="291" spans="28:28" hidden="1" x14ac:dyDescent="0.25">
      <c r="AB291" s="7" t="s">
        <v>74</v>
      </c>
    </row>
    <row r="292" spans="28:28" hidden="1" x14ac:dyDescent="0.25">
      <c r="AB292" s="7" t="s">
        <v>75</v>
      </c>
    </row>
    <row r="293" spans="28:28" hidden="1" x14ac:dyDescent="0.25">
      <c r="AB293" s="7" t="s">
        <v>76</v>
      </c>
    </row>
    <row r="294" spans="28:28" hidden="1" x14ac:dyDescent="0.25">
      <c r="AB294" s="7" t="s">
        <v>77</v>
      </c>
    </row>
    <row r="295" spans="28:28" hidden="1" x14ac:dyDescent="0.25">
      <c r="AB295" s="7" t="s">
        <v>78</v>
      </c>
    </row>
    <row r="296" spans="28:28" hidden="1" x14ac:dyDescent="0.25">
      <c r="AB296" s="7" t="s">
        <v>79</v>
      </c>
    </row>
  </sheetData>
  <sheetProtection password="D401" sheet="1" objects="1" scenarios="1" selectLockedCells="1"/>
  <dataConsolidate/>
  <mergeCells count="74">
    <mergeCell ref="H68:M68"/>
    <mergeCell ref="H85:M85"/>
    <mergeCell ref="H102:M102"/>
    <mergeCell ref="H119:M119"/>
    <mergeCell ref="H136:M136"/>
    <mergeCell ref="B135:M135"/>
    <mergeCell ref="B94:B98"/>
    <mergeCell ref="I94:L98"/>
    <mergeCell ref="I69:L69"/>
    <mergeCell ref="B71:B75"/>
    <mergeCell ref="I71:L75"/>
    <mergeCell ref="B77:B81"/>
    <mergeCell ref="I77:L81"/>
    <mergeCell ref="B84:M84"/>
    <mergeCell ref="I86:L86"/>
    <mergeCell ref="B88:B92"/>
    <mergeCell ref="B67:M67"/>
    <mergeCell ref="B3:L3"/>
    <mergeCell ref="K5:N5"/>
    <mergeCell ref="C19:J20"/>
    <mergeCell ref="H22:I22"/>
    <mergeCell ref="H24:I24"/>
    <mergeCell ref="H26:I26"/>
    <mergeCell ref="H31:I31"/>
    <mergeCell ref="F44:G44"/>
    <mergeCell ref="B62:M64"/>
    <mergeCell ref="I50:K50"/>
    <mergeCell ref="I88:L92"/>
    <mergeCell ref="B68:G68"/>
    <mergeCell ref="B85:G85"/>
    <mergeCell ref="B128:B132"/>
    <mergeCell ref="I128:L132"/>
    <mergeCell ref="B101:M101"/>
    <mergeCell ref="I103:L103"/>
    <mergeCell ref="B105:B109"/>
    <mergeCell ref="I105:L109"/>
    <mergeCell ref="B111:B115"/>
    <mergeCell ref="I111:L115"/>
    <mergeCell ref="B118:M118"/>
    <mergeCell ref="I120:L120"/>
    <mergeCell ref="B122:B126"/>
    <mergeCell ref="I122:L126"/>
    <mergeCell ref="B102:G102"/>
    <mergeCell ref="B119:G119"/>
    <mergeCell ref="B152:M152"/>
    <mergeCell ref="B169:G169"/>
    <mergeCell ref="H169:M169"/>
    <mergeCell ref="B170:G170"/>
    <mergeCell ref="H170:M170"/>
    <mergeCell ref="H153:M153"/>
    <mergeCell ref="I154:L154"/>
    <mergeCell ref="B156:B160"/>
    <mergeCell ref="I156:L160"/>
    <mergeCell ref="B162:B166"/>
    <mergeCell ref="I162:L166"/>
    <mergeCell ref="I137:L137"/>
    <mergeCell ref="B139:B143"/>
    <mergeCell ref="I139:L143"/>
    <mergeCell ref="B145:B149"/>
    <mergeCell ref="I145:L149"/>
    <mergeCell ref="B188:G188"/>
    <mergeCell ref="H188:M188"/>
    <mergeCell ref="B194:B198"/>
    <mergeCell ref="I194:L198"/>
    <mergeCell ref="I173:L173"/>
    <mergeCell ref="B175:B179"/>
    <mergeCell ref="I175:L179"/>
    <mergeCell ref="B181:B185"/>
    <mergeCell ref="I181:L185"/>
    <mergeCell ref="B200:B204"/>
    <mergeCell ref="I200:L204"/>
    <mergeCell ref="H189:M189"/>
    <mergeCell ref="B189:G189"/>
    <mergeCell ref="I192:L192"/>
  </mergeCells>
  <conditionalFormatting sqref="I71:L75">
    <cfRule type="cellIs" dxfId="131" priority="68" operator="equal">
      <formula>$S$64</formula>
    </cfRule>
    <cfRule type="cellIs" dxfId="130" priority="69" operator="equal">
      <formula>$S$63</formula>
    </cfRule>
    <cfRule type="cellIs" dxfId="129" priority="70" operator="equal">
      <formula>$S$62</formula>
    </cfRule>
  </conditionalFormatting>
  <conditionalFormatting sqref="I71:L75">
    <cfRule type="cellIs" dxfId="128" priority="67" operator="equal">
      <formula>$S$65</formula>
    </cfRule>
  </conditionalFormatting>
  <conditionalFormatting sqref="I77:L81">
    <cfRule type="cellIs" dxfId="127" priority="64" operator="equal">
      <formula>$S$64</formula>
    </cfRule>
    <cfRule type="cellIs" dxfId="126" priority="65" operator="equal">
      <formula>$S$63</formula>
    </cfRule>
    <cfRule type="cellIs" dxfId="125" priority="66" operator="equal">
      <formula>$S$62</formula>
    </cfRule>
  </conditionalFormatting>
  <conditionalFormatting sqref="I77:L81">
    <cfRule type="cellIs" dxfId="124" priority="63" operator="equal">
      <formula>$S$65</formula>
    </cfRule>
  </conditionalFormatting>
  <conditionalFormatting sqref="I88:L92">
    <cfRule type="cellIs" dxfId="123" priority="60" operator="equal">
      <formula>$S$64</formula>
    </cfRule>
    <cfRule type="cellIs" dxfId="122" priority="61" operator="equal">
      <formula>$S$63</formula>
    </cfRule>
    <cfRule type="cellIs" dxfId="121" priority="62" operator="equal">
      <formula>$S$62</formula>
    </cfRule>
  </conditionalFormatting>
  <conditionalFormatting sqref="I88:L92">
    <cfRule type="cellIs" dxfId="120" priority="59" operator="equal">
      <formula>$S$65</formula>
    </cfRule>
  </conditionalFormatting>
  <conditionalFormatting sqref="I94:L98">
    <cfRule type="cellIs" dxfId="119" priority="56" operator="equal">
      <formula>$S$64</formula>
    </cfRule>
    <cfRule type="cellIs" dxfId="118" priority="57" operator="equal">
      <formula>$S$63</formula>
    </cfRule>
    <cfRule type="cellIs" dxfId="117" priority="58" operator="equal">
      <formula>$S$62</formula>
    </cfRule>
  </conditionalFormatting>
  <conditionalFormatting sqref="I94:L98">
    <cfRule type="cellIs" dxfId="116" priority="55" operator="equal">
      <formula>$S$65</formula>
    </cfRule>
  </conditionalFormatting>
  <conditionalFormatting sqref="I105:L109">
    <cfRule type="cellIs" dxfId="115" priority="52" operator="equal">
      <formula>$S$64</formula>
    </cfRule>
    <cfRule type="cellIs" dxfId="114" priority="53" operator="equal">
      <formula>$S$63</formula>
    </cfRule>
    <cfRule type="cellIs" dxfId="113" priority="54" operator="equal">
      <formula>$S$62</formula>
    </cfRule>
  </conditionalFormatting>
  <conditionalFormatting sqref="I105:L109">
    <cfRule type="cellIs" dxfId="112" priority="51" operator="equal">
      <formula>$S$65</formula>
    </cfRule>
  </conditionalFormatting>
  <conditionalFormatting sqref="I111:L115">
    <cfRule type="cellIs" dxfId="111" priority="48" operator="equal">
      <formula>$S$64</formula>
    </cfRule>
    <cfRule type="cellIs" dxfId="110" priority="49" operator="equal">
      <formula>$S$63</formula>
    </cfRule>
    <cfRule type="cellIs" dxfId="109" priority="50" operator="equal">
      <formula>$S$62</formula>
    </cfRule>
  </conditionalFormatting>
  <conditionalFormatting sqref="I111:L115">
    <cfRule type="cellIs" dxfId="108" priority="47" operator="equal">
      <formula>$S$65</formula>
    </cfRule>
  </conditionalFormatting>
  <conditionalFormatting sqref="I122:L126">
    <cfRule type="cellIs" dxfId="107" priority="44" operator="equal">
      <formula>$S$64</formula>
    </cfRule>
    <cfRule type="cellIs" dxfId="106" priority="45" operator="equal">
      <formula>$S$63</formula>
    </cfRule>
    <cfRule type="cellIs" dxfId="105" priority="46" operator="equal">
      <formula>$S$62</formula>
    </cfRule>
  </conditionalFormatting>
  <conditionalFormatting sqref="I122:L126">
    <cfRule type="cellIs" dxfId="104" priority="43" operator="equal">
      <formula>$S$65</formula>
    </cfRule>
  </conditionalFormatting>
  <conditionalFormatting sqref="I128:L132">
    <cfRule type="cellIs" dxfId="103" priority="40" operator="equal">
      <formula>$S$64</formula>
    </cfRule>
    <cfRule type="cellIs" dxfId="102" priority="41" operator="equal">
      <formula>$S$63</formula>
    </cfRule>
    <cfRule type="cellIs" dxfId="101" priority="42" operator="equal">
      <formula>$S$62</formula>
    </cfRule>
  </conditionalFormatting>
  <conditionalFormatting sqref="I128:L132">
    <cfRule type="cellIs" dxfId="100" priority="39" operator="equal">
      <formula>$S$65</formula>
    </cfRule>
  </conditionalFormatting>
  <conditionalFormatting sqref="I139:L143">
    <cfRule type="cellIs" dxfId="99" priority="36" operator="equal">
      <formula>$S$64</formula>
    </cfRule>
    <cfRule type="cellIs" dxfId="98" priority="37" operator="equal">
      <formula>$S$63</formula>
    </cfRule>
    <cfRule type="cellIs" dxfId="97" priority="38" operator="equal">
      <formula>$S$62</formula>
    </cfRule>
  </conditionalFormatting>
  <conditionalFormatting sqref="I139:L143">
    <cfRule type="cellIs" dxfId="96" priority="35" operator="equal">
      <formula>$S$65</formula>
    </cfRule>
  </conditionalFormatting>
  <conditionalFormatting sqref="I145:L149">
    <cfRule type="cellIs" dxfId="95" priority="32" operator="equal">
      <formula>$S$64</formula>
    </cfRule>
    <cfRule type="cellIs" dxfId="94" priority="33" operator="equal">
      <formula>$S$63</formula>
    </cfRule>
    <cfRule type="cellIs" dxfId="93" priority="34" operator="equal">
      <formula>$S$62</formula>
    </cfRule>
  </conditionalFormatting>
  <conditionalFormatting sqref="I145:L149">
    <cfRule type="cellIs" dxfId="92" priority="31" operator="equal">
      <formula>$S$65</formula>
    </cfRule>
  </conditionalFormatting>
  <conditionalFormatting sqref="I175:L179">
    <cfRule type="cellIs" dxfId="91" priority="28" operator="equal">
      <formula>$S$64</formula>
    </cfRule>
    <cfRule type="cellIs" dxfId="90" priority="29" operator="equal">
      <formula>$S$63</formula>
    </cfRule>
    <cfRule type="cellIs" dxfId="89" priority="30" operator="equal">
      <formula>$S$62</formula>
    </cfRule>
  </conditionalFormatting>
  <conditionalFormatting sqref="I175:L179">
    <cfRule type="cellIs" dxfId="88" priority="27" operator="equal">
      <formula>$S$65</formula>
    </cfRule>
  </conditionalFormatting>
  <conditionalFormatting sqref="I181:L185">
    <cfRule type="cellIs" dxfId="87" priority="24" operator="equal">
      <formula>$S$64</formula>
    </cfRule>
    <cfRule type="cellIs" dxfId="86" priority="25" operator="equal">
      <formula>$S$63</formula>
    </cfRule>
    <cfRule type="cellIs" dxfId="85" priority="26" operator="equal">
      <formula>$S$62</formula>
    </cfRule>
  </conditionalFormatting>
  <conditionalFormatting sqref="I181:L185">
    <cfRule type="cellIs" dxfId="84" priority="23" operator="equal">
      <formula>$S$65</formula>
    </cfRule>
  </conditionalFormatting>
  <conditionalFormatting sqref="I194:L198">
    <cfRule type="cellIs" dxfId="83" priority="20" operator="equal">
      <formula>$S$64</formula>
    </cfRule>
    <cfRule type="cellIs" dxfId="82" priority="21" operator="equal">
      <formula>$S$63</formula>
    </cfRule>
    <cfRule type="cellIs" dxfId="81" priority="22" operator="equal">
      <formula>$S$62</formula>
    </cfRule>
  </conditionalFormatting>
  <conditionalFormatting sqref="I194:L198">
    <cfRule type="cellIs" dxfId="80" priority="19" operator="equal">
      <formula>$S$65</formula>
    </cfRule>
  </conditionalFormatting>
  <conditionalFormatting sqref="I200:L204">
    <cfRule type="cellIs" dxfId="79" priority="16" operator="equal">
      <formula>$S$64</formula>
    </cfRule>
    <cfRule type="cellIs" dxfId="78" priority="17" operator="equal">
      <formula>$S$63</formula>
    </cfRule>
    <cfRule type="cellIs" dxfId="77" priority="18" operator="equal">
      <formula>$S$62</formula>
    </cfRule>
  </conditionalFormatting>
  <conditionalFormatting sqref="I200:L204">
    <cfRule type="cellIs" dxfId="76" priority="15" operator="equal">
      <formula>$S$65</formula>
    </cfRule>
  </conditionalFormatting>
  <conditionalFormatting sqref="H22:I22 H26:I26 H31:I31 H24:I24">
    <cfRule type="cellIs" dxfId="75" priority="13" operator="equal">
      <formula>$Q$24</formula>
    </cfRule>
    <cfRule type="cellIs" dxfId="74" priority="14" operator="equal">
      <formula>$Q$22</formula>
    </cfRule>
  </conditionalFormatting>
  <conditionalFormatting sqref="H50">
    <cfRule type="cellIs" dxfId="73" priority="9" operator="greaterThanOrEqual">
      <formula>100%</formula>
    </cfRule>
    <cfRule type="cellIs" dxfId="72" priority="10" operator="greaterThan">
      <formula>90.1%</formula>
    </cfRule>
    <cfRule type="cellIs" dxfId="71" priority="11" operator="between">
      <formula>75.1%</formula>
      <formula>90%</formula>
    </cfRule>
    <cfRule type="cellIs" dxfId="70" priority="12" operator="lessThanOrEqual">
      <formula>75%</formula>
    </cfRule>
  </conditionalFormatting>
  <conditionalFormatting sqref="I156:L160">
    <cfRule type="cellIs" dxfId="69" priority="6" operator="equal">
      <formula>$S$64</formula>
    </cfRule>
    <cfRule type="cellIs" dxfId="68" priority="7" operator="equal">
      <formula>$S$63</formula>
    </cfRule>
    <cfRule type="cellIs" dxfId="67" priority="8" operator="equal">
      <formula>$S$62</formula>
    </cfRule>
  </conditionalFormatting>
  <conditionalFormatting sqref="I156:L160">
    <cfRule type="cellIs" dxfId="66" priority="5" operator="equal">
      <formula>$S$65</formula>
    </cfRule>
  </conditionalFormatting>
  <conditionalFormatting sqref="I162:L166">
    <cfRule type="cellIs" dxfId="65" priority="2" operator="equal">
      <formula>$S$64</formula>
    </cfRule>
    <cfRule type="cellIs" dxfId="64" priority="3" operator="equal">
      <formula>$S$63</formula>
    </cfRule>
    <cfRule type="cellIs" dxfId="63" priority="4" operator="equal">
      <formula>$S$62</formula>
    </cfRule>
  </conditionalFormatting>
  <conditionalFormatting sqref="I162:L166">
    <cfRule type="cellIs" dxfId="62" priority="1" operator="equal">
      <formula>$S$65</formula>
    </cfRule>
  </conditionalFormatting>
  <dataValidations xWindow="562" yWindow="504" count="4">
    <dataValidation type="list" allowBlank="1" showInputMessage="1" showErrorMessage="1" errorTitle="Please select from the list" sqref="F44:G44">
      <formula1>$AB$260:$AB$296</formula1>
    </dataValidation>
    <dataValidation type="list" allowBlank="1" showInputMessage="1" showErrorMessage="1" sqref="F29">
      <formula1>$AD$259:$AD$280</formula1>
    </dataValidation>
    <dataValidation type="list" allowBlank="1" showInputMessage="1" showErrorMessage="1" error="Please choose from the list provided.  If your material thickness exceed 1/8&quot; consult Applications Engineering at (800) 448-6688." sqref="F7">
      <formula1>$Q$45:$Q$49</formula1>
    </dataValidation>
    <dataValidation type="list" allowBlank="1" showInputMessage="1" showErrorMessage="1" errorTitle="ERROR" error="Please choose either an INTERNAL or EXTERNAL manway.  If you have questions about the type pf manway you have, please contact Garlock Applications Engineering at 315-597-7350." sqref="F38">
      <formula1>$Q$39:$Q$41</formula1>
    </dataValidation>
  </dataValidations>
  <printOptions horizontalCentered="1"/>
  <pageMargins left="0.5" right="0.5" top="1" bottom="1" header="0.5" footer="0.5"/>
  <pageSetup scale="49" fitToHeight="2" orientation="portrait" r:id="rId1"/>
  <headerFooter alignWithMargins="0">
    <oddHeader xml:space="preserve">&amp;CGarlock Sealing Technologies
1666 Division Street
Palmyra, NY  14522
(800) 448-6688&amp;"Arial Rounded MT Bold,Bold"&amp;8
</oddHeader>
    <oddFooter>&amp;A</oddFooter>
  </headerFooter>
  <rowBreaks count="2" manualBreakCount="2">
    <brk id="82" max="13" man="1"/>
    <brk id="150" max="13"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281"/>
  <sheetViews>
    <sheetView showGridLines="0" zoomScale="85" zoomScaleNormal="85" workbookViewId="0">
      <pane ySplit="4" topLeftCell="A5" activePane="bottomLeft" state="frozen"/>
      <selection pane="bottomLeft" activeCell="F7" sqref="F7"/>
    </sheetView>
  </sheetViews>
  <sheetFormatPr defaultColWidth="0" defaultRowHeight="13.2" zeroHeight="1" x14ac:dyDescent="0.25"/>
  <cols>
    <col min="1" max="1" width="9" style="7" customWidth="1"/>
    <col min="2" max="2" width="24.109375" style="7" customWidth="1"/>
    <col min="3" max="3" width="15.77734375" style="7" customWidth="1"/>
    <col min="4" max="4" width="12.6640625" style="7" customWidth="1"/>
    <col min="5" max="5" width="3.6640625" style="7" customWidth="1"/>
    <col min="6" max="6" width="16.88671875" style="7" customWidth="1"/>
    <col min="7" max="7" width="15.77734375" style="7" customWidth="1"/>
    <col min="8" max="9" width="7.77734375" style="7" customWidth="1"/>
    <col min="10" max="10" width="2.6640625" style="7" customWidth="1"/>
    <col min="11" max="11" width="15.77734375" style="7" customWidth="1"/>
    <col min="12" max="12" width="15.6640625" style="7" customWidth="1"/>
    <col min="13" max="13" width="6.44140625" style="7" customWidth="1"/>
    <col min="14" max="14" width="4.77734375" style="7" customWidth="1"/>
    <col min="15" max="16384" width="9.109375" style="7" hidden="1"/>
  </cols>
  <sheetData>
    <row r="1" spans="2:14" ht="108" customHeight="1" x14ac:dyDescent="0.25"/>
    <row r="2" spans="2:14" ht="28.2" customHeight="1" x14ac:dyDescent="0.25"/>
    <row r="3" spans="2:14" ht="27" customHeight="1" x14ac:dyDescent="0.25">
      <c r="B3" s="467" t="s">
        <v>418</v>
      </c>
      <c r="C3" s="468"/>
      <c r="D3" s="468"/>
      <c r="E3" s="468"/>
      <c r="F3" s="468"/>
      <c r="G3" s="468"/>
      <c r="H3" s="468"/>
      <c r="I3" s="468"/>
      <c r="J3" s="468"/>
      <c r="K3" s="468"/>
      <c r="L3" s="469"/>
      <c r="M3" s="269"/>
    </row>
    <row r="4" spans="2:14" ht="24" customHeight="1" x14ac:dyDescent="0.25">
      <c r="C4" s="249"/>
      <c r="D4" s="250"/>
      <c r="E4" s="250"/>
      <c r="F4" s="250"/>
      <c r="G4" s="250"/>
      <c r="H4" s="250"/>
      <c r="I4" s="250"/>
      <c r="J4" s="254"/>
    </row>
    <row r="5" spans="2:14" ht="17.399999999999999" x14ac:dyDescent="0.3">
      <c r="B5" s="29"/>
      <c r="C5" s="271"/>
      <c r="D5" s="271"/>
      <c r="E5" s="271"/>
      <c r="F5" s="271" t="s">
        <v>415</v>
      </c>
      <c r="G5" s="271"/>
      <c r="H5" s="271"/>
      <c r="I5" s="271"/>
      <c r="J5" s="285"/>
      <c r="K5" s="453" t="s">
        <v>387</v>
      </c>
      <c r="L5" s="453"/>
      <c r="M5" s="453"/>
      <c r="N5" s="453"/>
    </row>
    <row r="6" spans="2:14" ht="21.6" thickBot="1" x14ac:dyDescent="0.3">
      <c r="B6" s="29"/>
      <c r="C6" s="32"/>
      <c r="D6" s="22" t="s">
        <v>320</v>
      </c>
      <c r="E6" s="9"/>
      <c r="F6" s="9"/>
      <c r="G6" s="9"/>
      <c r="H6" s="9"/>
      <c r="K6" s="236"/>
      <c r="L6" s="236"/>
      <c r="M6" s="236"/>
      <c r="N6" s="236"/>
    </row>
    <row r="7" spans="2:14" ht="18" thickBot="1" x14ac:dyDescent="0.3">
      <c r="B7" s="29"/>
      <c r="C7" s="32"/>
      <c r="D7" s="40" t="s">
        <v>344</v>
      </c>
      <c r="E7" s="63"/>
      <c r="F7" s="360"/>
      <c r="G7" s="23" t="s">
        <v>321</v>
      </c>
      <c r="H7" s="8"/>
      <c r="I7" s="236"/>
      <c r="J7" s="236"/>
    </row>
    <row r="8" spans="2:14" ht="17.25" customHeight="1" x14ac:dyDescent="0.25">
      <c r="B8" s="29"/>
      <c r="C8" s="32"/>
      <c r="D8" s="32"/>
      <c r="E8" s="32"/>
      <c r="F8" s="32"/>
      <c r="G8" s="32"/>
      <c r="H8" s="32"/>
    </row>
    <row r="9" spans="2:14" ht="21" x14ac:dyDescent="0.25">
      <c r="C9" s="11"/>
      <c r="D9" s="10" t="s">
        <v>1</v>
      </c>
      <c r="E9" s="11"/>
      <c r="F9" s="11"/>
      <c r="G9" s="2"/>
      <c r="H9" s="2"/>
    </row>
    <row r="10" spans="2:14" ht="6.9" customHeight="1" thickBot="1" x14ac:dyDescent="0.35">
      <c r="B10" s="13"/>
      <c r="C10" s="13"/>
      <c r="D10" s="13"/>
      <c r="E10" s="13"/>
      <c r="F10" s="13"/>
      <c r="G10" s="14"/>
      <c r="H10" s="2"/>
      <c r="N10" s="351"/>
    </row>
    <row r="11" spans="2:14" ht="18" thickBot="1" x14ac:dyDescent="0.35">
      <c r="C11" s="13"/>
      <c r="D11" s="118" t="s">
        <v>347</v>
      </c>
      <c r="F11" s="363"/>
      <c r="G11" s="13" t="s">
        <v>3</v>
      </c>
      <c r="H11" s="14"/>
      <c r="N11" s="351"/>
    </row>
    <row r="12" spans="2:14" ht="3.9" customHeight="1" thickBot="1" x14ac:dyDescent="0.35">
      <c r="C12" s="13"/>
      <c r="D12" s="15"/>
      <c r="F12" s="13"/>
      <c r="G12" s="13"/>
      <c r="H12" s="14"/>
      <c r="N12" s="351"/>
    </row>
    <row r="13" spans="2:14" ht="18" thickBot="1" x14ac:dyDescent="0.35">
      <c r="C13" s="13"/>
      <c r="D13" s="40" t="s">
        <v>348</v>
      </c>
      <c r="F13" s="363"/>
      <c r="G13" s="13" t="s">
        <v>3</v>
      </c>
      <c r="H13" s="14"/>
      <c r="N13" s="351"/>
    </row>
    <row r="14" spans="2:14" ht="3.9" customHeight="1" thickBot="1" x14ac:dyDescent="0.35">
      <c r="C14" s="13"/>
      <c r="D14" s="15"/>
      <c r="F14" s="13"/>
      <c r="G14" s="13"/>
      <c r="H14" s="14"/>
      <c r="N14" s="351"/>
    </row>
    <row r="15" spans="2:14" ht="18" thickBot="1" x14ac:dyDescent="0.35">
      <c r="C15" s="13"/>
      <c r="D15" s="40" t="s">
        <v>349</v>
      </c>
      <c r="F15" s="363"/>
      <c r="G15" s="13" t="s">
        <v>3</v>
      </c>
      <c r="H15" s="14"/>
      <c r="K15" s="352"/>
      <c r="L15" s="352"/>
      <c r="M15" s="352"/>
    </row>
    <row r="16" spans="2:14" ht="3.9" customHeight="1" thickBot="1" x14ac:dyDescent="0.35">
      <c r="C16" s="13"/>
      <c r="D16" s="15"/>
      <c r="F16" s="13"/>
      <c r="G16" s="13"/>
      <c r="H16" s="14"/>
      <c r="K16" s="353"/>
      <c r="L16" s="353"/>
      <c r="M16" s="353"/>
      <c r="N16" s="101"/>
    </row>
    <row r="17" spans="3:19" ht="18" thickBot="1" x14ac:dyDescent="0.35">
      <c r="C17" s="13"/>
      <c r="D17" s="40" t="s">
        <v>350</v>
      </c>
      <c r="F17" s="363"/>
      <c r="G17" s="13" t="s">
        <v>3</v>
      </c>
      <c r="H17" s="14"/>
      <c r="K17" s="353"/>
      <c r="L17" s="353"/>
      <c r="M17" s="353"/>
      <c r="N17" s="101"/>
    </row>
    <row r="18" spans="3:19" ht="18" customHeight="1" thickBot="1" x14ac:dyDescent="0.35">
      <c r="C18" s="13"/>
      <c r="D18" s="15"/>
      <c r="F18" s="13"/>
      <c r="G18" s="13"/>
      <c r="H18" s="14"/>
      <c r="K18" s="353"/>
      <c r="L18" s="353"/>
      <c r="M18" s="353"/>
      <c r="N18" s="101"/>
    </row>
    <row r="19" spans="3:19" ht="18" customHeight="1" thickTop="1" x14ac:dyDescent="0.25">
      <c r="C19" s="484" t="s">
        <v>417</v>
      </c>
      <c r="D19" s="485"/>
      <c r="E19" s="485"/>
      <c r="F19" s="485"/>
      <c r="G19" s="485"/>
      <c r="H19" s="485"/>
      <c r="I19" s="485"/>
      <c r="J19" s="486"/>
      <c r="K19" s="353"/>
      <c r="L19" s="353"/>
      <c r="M19" s="353"/>
      <c r="N19" s="101"/>
    </row>
    <row r="20" spans="3:19" ht="17.399999999999999" customHeight="1" x14ac:dyDescent="0.25">
      <c r="C20" s="487"/>
      <c r="D20" s="488"/>
      <c r="E20" s="488"/>
      <c r="F20" s="488"/>
      <c r="G20" s="488"/>
      <c r="H20" s="488"/>
      <c r="I20" s="488"/>
      <c r="J20" s="489"/>
      <c r="K20" s="353"/>
      <c r="L20" s="353"/>
      <c r="M20" s="353"/>
      <c r="N20" s="101"/>
    </row>
    <row r="21" spans="3:19" ht="18" customHeight="1" thickBot="1" x14ac:dyDescent="0.35">
      <c r="C21" s="260"/>
      <c r="D21" s="255"/>
      <c r="E21" s="239"/>
      <c r="F21" s="256"/>
      <c r="G21" s="256"/>
      <c r="H21" s="257"/>
      <c r="I21" s="239"/>
      <c r="J21" s="261"/>
      <c r="K21" s="353"/>
      <c r="L21" s="353"/>
      <c r="M21" s="353"/>
      <c r="N21" s="101"/>
    </row>
    <row r="22" spans="3:19" ht="18" thickBot="1" x14ac:dyDescent="0.35">
      <c r="C22" s="260"/>
      <c r="D22" s="270" t="s">
        <v>353</v>
      </c>
      <c r="E22" s="239"/>
      <c r="F22" s="363"/>
      <c r="G22" s="256" t="s">
        <v>3</v>
      </c>
      <c r="H22" s="480" t="b">
        <f>AND(F22&lt;(F11-$F$26),F22&gt;=(F15+1+$F$26))</f>
        <v>0</v>
      </c>
      <c r="I22" s="481"/>
      <c r="J22" s="262"/>
      <c r="K22" s="354"/>
      <c r="L22" s="354"/>
      <c r="M22" s="354"/>
      <c r="N22" s="101"/>
      <c r="Q22" s="7" t="b">
        <v>1</v>
      </c>
    </row>
    <row r="23" spans="3:19" ht="3.9" customHeight="1" thickBot="1" x14ac:dyDescent="0.35">
      <c r="C23" s="260"/>
      <c r="D23" s="258"/>
      <c r="E23" s="239"/>
      <c r="F23" s="256" t="s">
        <v>4</v>
      </c>
      <c r="G23" s="256"/>
      <c r="H23" s="259"/>
      <c r="I23" s="239"/>
      <c r="J23" s="261"/>
      <c r="K23" s="354"/>
      <c r="L23" s="354"/>
      <c r="M23" s="354"/>
      <c r="N23" s="101"/>
    </row>
    <row r="24" spans="3:19" ht="18" thickBot="1" x14ac:dyDescent="0.35">
      <c r="C24" s="260"/>
      <c r="D24" s="270" t="s">
        <v>354</v>
      </c>
      <c r="E24" s="239"/>
      <c r="F24" s="363"/>
      <c r="G24" s="256" t="s">
        <v>3</v>
      </c>
      <c r="H24" s="480" t="b">
        <f>AND(F24&lt;(F13-$F$26),F24&gt;=(F17+1+$F$26))</f>
        <v>0</v>
      </c>
      <c r="I24" s="481"/>
      <c r="J24" s="262"/>
      <c r="K24" s="101"/>
      <c r="L24" s="101"/>
      <c r="M24" s="101"/>
      <c r="N24" s="101"/>
      <c r="Q24" s="7" t="b">
        <v>0</v>
      </c>
      <c r="R24" s="64" t="s">
        <v>427</v>
      </c>
      <c r="S24" s="64" t="s">
        <v>428</v>
      </c>
    </row>
    <row r="25" spans="3:19" ht="3.9" customHeight="1" thickBot="1" x14ac:dyDescent="0.35">
      <c r="C25" s="260"/>
      <c r="D25" s="255"/>
      <c r="E25" s="239"/>
      <c r="F25" s="256" t="s">
        <v>4</v>
      </c>
      <c r="G25" s="256"/>
      <c r="H25" s="259"/>
      <c r="I25" s="239"/>
      <c r="J25" s="261"/>
      <c r="K25" s="229"/>
      <c r="L25" s="101"/>
      <c r="M25" s="101"/>
      <c r="N25" s="101"/>
      <c r="R25" s="64"/>
      <c r="S25" s="64"/>
    </row>
    <row r="26" spans="3:19" ht="18" thickBot="1" x14ac:dyDescent="0.35">
      <c r="C26" s="260"/>
      <c r="D26" s="270" t="s">
        <v>18</v>
      </c>
      <c r="E26" s="239"/>
      <c r="F26" s="363"/>
      <c r="G26" s="256" t="s">
        <v>3</v>
      </c>
      <c r="H26" s="480" t="b">
        <f>AND(R26=Q22,S26=Q22)</f>
        <v>0</v>
      </c>
      <c r="I26" s="481"/>
      <c r="J26" s="262"/>
      <c r="K26" s="101"/>
      <c r="L26" s="101"/>
      <c r="M26" s="101"/>
      <c r="R26" s="64" t="b">
        <f>AND(F26&lt;=((F11-(F15+1))/2),F26&lt;=((F13-(F17+1))/2))</f>
        <v>0</v>
      </c>
      <c r="S26" s="64" t="b">
        <f>(F29&lt;F26)</f>
        <v>0</v>
      </c>
    </row>
    <row r="27" spans="3:19" ht="7.8" customHeight="1" thickBot="1" x14ac:dyDescent="0.35">
      <c r="C27" s="263"/>
      <c r="D27" s="264"/>
      <c r="E27" s="265"/>
      <c r="F27" s="266"/>
      <c r="G27" s="266"/>
      <c r="H27" s="267"/>
      <c r="I27" s="267"/>
      <c r="J27" s="268"/>
      <c r="K27" s="101"/>
      <c r="L27" s="101"/>
      <c r="M27" s="101"/>
    </row>
    <row r="28" spans="3:19" ht="7.8" customHeight="1" thickTop="1" thickBot="1" x14ac:dyDescent="0.35">
      <c r="C28" s="13"/>
      <c r="D28" s="15"/>
      <c r="F28" s="13"/>
      <c r="G28" s="13"/>
      <c r="H28" s="14"/>
      <c r="K28" s="101"/>
      <c r="L28" s="101"/>
      <c r="M28" s="101"/>
    </row>
    <row r="29" spans="3:19" ht="18" thickBot="1" x14ac:dyDescent="0.35">
      <c r="C29" s="13"/>
      <c r="D29" s="40" t="s">
        <v>336</v>
      </c>
      <c r="F29" s="367"/>
      <c r="G29" s="13" t="s">
        <v>3</v>
      </c>
      <c r="H29" s="14"/>
      <c r="K29" s="101"/>
      <c r="L29" s="101"/>
      <c r="M29" s="101"/>
    </row>
    <row r="30" spans="3:19" ht="3.9" customHeight="1" thickBot="1" x14ac:dyDescent="0.35">
      <c r="C30" s="13"/>
      <c r="D30" s="15"/>
      <c r="F30" s="13"/>
      <c r="G30" s="13"/>
      <c r="H30" s="14"/>
      <c r="K30" s="101"/>
      <c r="L30" s="101"/>
      <c r="M30" s="101"/>
    </row>
    <row r="31" spans="3:19" ht="18" thickBot="1" x14ac:dyDescent="0.35">
      <c r="C31" s="13"/>
      <c r="D31" s="40" t="s">
        <v>338</v>
      </c>
      <c r="F31" s="363"/>
      <c r="G31" s="13"/>
      <c r="H31" s="482" t="e">
        <f>(F31&lt;((F22*2+F24*2)/F26/2))</f>
        <v>#DIV/0!</v>
      </c>
      <c r="I31" s="483"/>
      <c r="J31" s="253"/>
      <c r="K31" s="366"/>
      <c r="L31" s="101"/>
      <c r="M31" s="101"/>
    </row>
    <row r="32" spans="3:19" ht="3.9" customHeight="1" thickBot="1" x14ac:dyDescent="0.35">
      <c r="C32" s="13"/>
      <c r="D32" s="15"/>
      <c r="F32" s="13"/>
      <c r="G32" s="13"/>
      <c r="H32" s="14"/>
      <c r="K32" s="101"/>
      <c r="L32" s="101"/>
      <c r="M32" s="101"/>
    </row>
    <row r="33" spans="3:17" ht="18" thickBot="1" x14ac:dyDescent="0.35">
      <c r="C33" s="13"/>
      <c r="D33" s="20" t="s">
        <v>6</v>
      </c>
      <c r="F33" s="117">
        <f>(((F11-F13)*F13+0.7853981634*F13^2)-((F15-F17)*F17+0.7853981634*F17^2)-(0.7853981634*(F26^2)*F31))</f>
        <v>0</v>
      </c>
      <c r="G33" s="290" t="s">
        <v>13</v>
      </c>
      <c r="H33" s="14"/>
      <c r="K33" s="101"/>
      <c r="L33" s="101"/>
      <c r="M33" s="101"/>
    </row>
    <row r="34" spans="3:17" ht="18" customHeight="1" x14ac:dyDescent="0.3">
      <c r="C34" s="13"/>
      <c r="D34" s="15"/>
      <c r="F34" s="13"/>
      <c r="G34" s="13"/>
      <c r="H34" s="14"/>
      <c r="K34" s="101"/>
      <c r="L34" s="101"/>
      <c r="M34" s="101"/>
      <c r="Q34" s="64" t="s">
        <v>322</v>
      </c>
    </row>
    <row r="35" spans="3:17" ht="18" customHeight="1" thickBot="1" x14ac:dyDescent="0.45">
      <c r="C35" s="13"/>
      <c r="D35" s="21" t="s">
        <v>289</v>
      </c>
      <c r="E35" s="2"/>
      <c r="F35" s="2"/>
      <c r="G35" s="13"/>
      <c r="H35" s="14"/>
      <c r="K35" s="101"/>
      <c r="L35" s="101"/>
      <c r="M35" s="101"/>
      <c r="Q35" s="65">
        <v>1.5625E-2</v>
      </c>
    </row>
    <row r="36" spans="3:17" ht="18.75" customHeight="1" thickBot="1" x14ac:dyDescent="0.35">
      <c r="C36" s="13"/>
      <c r="D36" s="108" t="s">
        <v>341</v>
      </c>
      <c r="E36" s="2"/>
      <c r="F36" s="361"/>
      <c r="G36" s="13" t="s">
        <v>290</v>
      </c>
      <c r="H36" s="14"/>
      <c r="K36" s="101"/>
      <c r="L36" s="101"/>
      <c r="M36" s="101"/>
      <c r="Q36" s="65">
        <v>3.125E-2</v>
      </c>
    </row>
    <row r="37" spans="3:17" ht="18" customHeight="1" x14ac:dyDescent="0.3">
      <c r="C37" s="13"/>
      <c r="D37" s="15"/>
      <c r="F37" s="13"/>
      <c r="G37" s="13"/>
      <c r="H37" s="14"/>
      <c r="K37" s="101"/>
      <c r="L37" s="101"/>
      <c r="M37" s="101"/>
      <c r="Q37" s="65">
        <v>6.2E-2</v>
      </c>
    </row>
    <row r="38" spans="3:17" ht="19.5" customHeight="1" x14ac:dyDescent="0.3">
      <c r="C38" s="13"/>
      <c r="D38" s="22" t="s">
        <v>81</v>
      </c>
      <c r="F38" s="13"/>
      <c r="G38" s="13"/>
      <c r="H38" s="14"/>
      <c r="K38" s="101"/>
      <c r="L38" s="101"/>
      <c r="M38" s="101"/>
      <c r="Q38" s="65" t="s">
        <v>438</v>
      </c>
    </row>
    <row r="39" spans="3:17" ht="5.25" customHeight="1" thickBot="1" x14ac:dyDescent="0.35">
      <c r="C39" s="13"/>
      <c r="D39" s="15"/>
      <c r="F39" s="13"/>
      <c r="G39" s="13"/>
      <c r="H39" s="14"/>
      <c r="I39" s="364"/>
      <c r="J39" s="364"/>
      <c r="K39" s="364"/>
      <c r="L39" s="364"/>
      <c r="M39" s="101"/>
      <c r="Q39" s="65">
        <v>0.125</v>
      </c>
    </row>
    <row r="40" spans="3:17" ht="18" customHeight="1" thickBot="1" x14ac:dyDescent="0.35">
      <c r="C40" s="13"/>
      <c r="D40" s="40" t="s">
        <v>337</v>
      </c>
      <c r="F40" s="436"/>
      <c r="G40" s="437"/>
      <c r="H40" s="14"/>
      <c r="I40" s="364"/>
      <c r="J40" s="364"/>
      <c r="K40" s="364"/>
      <c r="L40" s="364"/>
      <c r="M40" s="101"/>
    </row>
    <row r="41" spans="3:17" ht="3.75" customHeight="1" thickBot="1" x14ac:dyDescent="0.35">
      <c r="C41" s="13"/>
      <c r="D41" s="15"/>
      <c r="F41" s="2"/>
      <c r="G41" s="14"/>
      <c r="H41" s="14"/>
      <c r="I41" s="364"/>
      <c r="J41" s="364"/>
      <c r="K41" s="364"/>
      <c r="L41" s="364"/>
      <c r="M41" s="101"/>
    </row>
    <row r="42" spans="3:17" ht="18" thickBot="1" x14ac:dyDescent="0.35">
      <c r="C42" s="13"/>
      <c r="D42" s="15" t="s">
        <v>83</v>
      </c>
      <c r="F42" s="106" t="e">
        <f>LOOKUP(F29,AD244:AD265,AE244:AE265)</f>
        <v>#N/A</v>
      </c>
      <c r="G42" s="14" t="s">
        <v>19</v>
      </c>
      <c r="H42" s="14"/>
      <c r="I42" s="364"/>
      <c r="J42" s="364"/>
      <c r="K42" s="364"/>
      <c r="L42" s="364"/>
      <c r="M42" s="101"/>
    </row>
    <row r="43" spans="3:17" ht="17.399999999999999" x14ac:dyDescent="0.3">
      <c r="C43" s="13"/>
      <c r="D43" s="15"/>
      <c r="F43" s="13"/>
      <c r="G43" s="13"/>
      <c r="H43" s="14"/>
      <c r="I43" s="364"/>
      <c r="J43" s="364"/>
      <c r="K43" s="364"/>
      <c r="L43" s="364"/>
      <c r="M43" s="101"/>
    </row>
    <row r="44" spans="3:17" ht="21" x14ac:dyDescent="0.3">
      <c r="C44" s="13"/>
      <c r="D44" s="22" t="s">
        <v>8</v>
      </c>
      <c r="F44" s="13"/>
      <c r="G44" s="13"/>
      <c r="H44" s="14"/>
      <c r="I44" s="364"/>
      <c r="J44" s="364"/>
      <c r="K44" s="364"/>
      <c r="L44" s="364"/>
      <c r="M44" s="101"/>
    </row>
    <row r="45" spans="3:17" ht="6.9" customHeight="1" thickBot="1" x14ac:dyDescent="0.35">
      <c r="C45" s="13"/>
      <c r="D45" s="15"/>
      <c r="F45" s="13"/>
      <c r="G45" s="13"/>
      <c r="H45" s="14"/>
      <c r="I45" s="364"/>
      <c r="J45" s="364"/>
      <c r="K45" s="364"/>
      <c r="L45" s="364"/>
      <c r="M45" s="101"/>
    </row>
    <row r="46" spans="3:17" ht="18" thickBot="1" x14ac:dyDescent="0.35">
      <c r="C46" s="2"/>
      <c r="D46" s="108" t="s">
        <v>342</v>
      </c>
      <c r="F46" s="365"/>
      <c r="G46" s="14" t="s">
        <v>19</v>
      </c>
      <c r="H46" s="276" t="e">
        <f>(F46/F42)</f>
        <v>#N/A</v>
      </c>
      <c r="I46" s="448" t="s">
        <v>429</v>
      </c>
      <c r="J46" s="448"/>
      <c r="K46" s="448"/>
      <c r="L46" s="364"/>
    </row>
    <row r="47" spans="3:17" ht="3.9" customHeight="1" thickBot="1" x14ac:dyDescent="0.3">
      <c r="C47" s="2"/>
      <c r="D47" s="18"/>
      <c r="F47" s="2"/>
      <c r="G47" s="2"/>
      <c r="H47" s="277"/>
      <c r="I47" s="356"/>
      <c r="J47" s="356"/>
      <c r="K47" s="278"/>
      <c r="L47" s="364"/>
    </row>
    <row r="48" spans="3:17" ht="18" thickBot="1" x14ac:dyDescent="0.3">
      <c r="C48" s="13"/>
      <c r="D48" s="15" t="s">
        <v>10</v>
      </c>
      <c r="F48" s="111" t="e">
        <f>(LOOKUP(F29,'BOLT TABLE'!B9:B30,'BOLT TABLE'!C9:C30)*F46)</f>
        <v>#N/A</v>
      </c>
      <c r="G48" s="23" t="s">
        <v>11</v>
      </c>
      <c r="H48" s="279" t="e">
        <f>VLOOKUP(F29,'BOLT TABLE'!$B$9:$D$30,3)</f>
        <v>#N/A</v>
      </c>
      <c r="I48" s="277" t="s">
        <v>431</v>
      </c>
      <c r="J48" s="356"/>
      <c r="K48" s="278"/>
      <c r="L48" s="364"/>
    </row>
    <row r="49" spans="2:27" ht="3.9" customHeight="1" thickBot="1" x14ac:dyDescent="0.35">
      <c r="C49" s="13"/>
      <c r="D49" s="15"/>
      <c r="F49" s="13"/>
      <c r="G49" s="13"/>
      <c r="H49" s="14"/>
      <c r="I49" s="364"/>
      <c r="J49" s="364"/>
      <c r="K49" s="364"/>
      <c r="L49" s="364"/>
    </row>
    <row r="50" spans="2:27" ht="18" thickBot="1" x14ac:dyDescent="0.3">
      <c r="C50" s="13"/>
      <c r="D50" s="15" t="s">
        <v>12</v>
      </c>
      <c r="F50" s="110">
        <f>(F31)</f>
        <v>0</v>
      </c>
      <c r="G50" s="13"/>
      <c r="H50" s="363"/>
      <c r="I50" s="290" t="s">
        <v>448</v>
      </c>
      <c r="O50" s="280" t="e">
        <f>IF(H50=0,H48,IF(H50&gt;0,H50))</f>
        <v>#N/A</v>
      </c>
      <c r="P50" s="126" t="s">
        <v>432</v>
      </c>
    </row>
    <row r="51" spans="2:27" ht="3.9" customHeight="1" thickBot="1" x14ac:dyDescent="0.3">
      <c r="C51" s="13"/>
      <c r="D51" s="15"/>
      <c r="F51" s="13"/>
      <c r="G51" s="13"/>
      <c r="H51" s="13"/>
    </row>
    <row r="52" spans="2:27" ht="18" thickBot="1" x14ac:dyDescent="0.3">
      <c r="C52" s="13"/>
      <c r="D52" s="15" t="s">
        <v>1</v>
      </c>
      <c r="F52" s="117">
        <f>(F33)</f>
        <v>0</v>
      </c>
      <c r="G52" s="13" t="s">
        <v>13</v>
      </c>
      <c r="H52" s="13"/>
    </row>
    <row r="53" spans="2:27" ht="3.9" customHeight="1" thickBot="1" x14ac:dyDescent="0.3">
      <c r="C53" s="13"/>
      <c r="D53" s="15"/>
      <c r="F53" s="13"/>
      <c r="G53" s="13"/>
      <c r="H53" s="13"/>
      <c r="AA53" s="7" t="s">
        <v>80</v>
      </c>
    </row>
    <row r="54" spans="2:27" ht="18" thickBot="1" x14ac:dyDescent="0.3">
      <c r="C54" s="13"/>
      <c r="D54" s="20" t="s">
        <v>14</v>
      </c>
      <c r="F54" s="111" t="e">
        <f>(F48*F50/F52)</f>
        <v>#N/A</v>
      </c>
      <c r="G54" s="23" t="s">
        <v>430</v>
      </c>
      <c r="H54" s="13"/>
    </row>
    <row r="55" spans="2:27" ht="3.9" customHeight="1" thickBot="1" x14ac:dyDescent="0.3">
      <c r="C55" s="2"/>
      <c r="D55" s="18"/>
      <c r="F55" s="2"/>
      <c r="G55" s="2"/>
      <c r="H55" s="2"/>
    </row>
    <row r="56" spans="2:27" ht="18" thickBot="1" x14ac:dyDescent="0.35">
      <c r="C56" s="14"/>
      <c r="D56" s="24" t="s">
        <v>15</v>
      </c>
      <c r="F56" s="106" t="e">
        <f>(O50*F29*F48/12)</f>
        <v>#N/A</v>
      </c>
      <c r="G56" s="289" t="s">
        <v>16</v>
      </c>
      <c r="H56" s="14"/>
    </row>
    <row r="57" spans="2:27" ht="13.8" thickBot="1" x14ac:dyDescent="0.3">
      <c r="B57" s="2"/>
      <c r="C57" s="2"/>
      <c r="D57" s="2"/>
      <c r="E57" s="2"/>
      <c r="F57" s="2"/>
      <c r="G57" s="2"/>
      <c r="H57" s="2"/>
    </row>
    <row r="58" spans="2:27" ht="13.8" thickTop="1" x14ac:dyDescent="0.25">
      <c r="B58" s="454" t="s">
        <v>402</v>
      </c>
      <c r="C58" s="455"/>
      <c r="D58" s="455"/>
      <c r="E58" s="455"/>
      <c r="F58" s="455"/>
      <c r="G58" s="455"/>
      <c r="H58" s="455"/>
      <c r="I58" s="455"/>
      <c r="J58" s="455"/>
      <c r="K58" s="455"/>
      <c r="L58" s="455"/>
      <c r="M58" s="456"/>
      <c r="S58" s="126" t="s">
        <v>388</v>
      </c>
    </row>
    <row r="59" spans="2:27" ht="13.8" customHeight="1" x14ac:dyDescent="0.25">
      <c r="B59" s="457"/>
      <c r="C59" s="458"/>
      <c r="D59" s="458"/>
      <c r="E59" s="458"/>
      <c r="F59" s="458"/>
      <c r="G59" s="458"/>
      <c r="H59" s="458"/>
      <c r="I59" s="458"/>
      <c r="J59" s="458"/>
      <c r="K59" s="458"/>
      <c r="L59" s="458"/>
      <c r="M59" s="459"/>
      <c r="S59" s="126" t="s">
        <v>397</v>
      </c>
    </row>
    <row r="60" spans="2:27" ht="13.2" customHeight="1" thickBot="1" x14ac:dyDescent="0.3">
      <c r="B60" s="460"/>
      <c r="C60" s="461"/>
      <c r="D60" s="461"/>
      <c r="E60" s="461"/>
      <c r="F60" s="461"/>
      <c r="G60" s="461"/>
      <c r="H60" s="461"/>
      <c r="I60" s="461"/>
      <c r="J60" s="461"/>
      <c r="K60" s="461"/>
      <c r="L60" s="461"/>
      <c r="M60" s="462"/>
      <c r="S60" s="126" t="s">
        <v>398</v>
      </c>
    </row>
    <row r="61" spans="2:27" ht="13.8" customHeight="1" thickTop="1" x14ac:dyDescent="0.3">
      <c r="B61" s="83"/>
      <c r="C61" s="33"/>
      <c r="D61" s="33"/>
      <c r="E61" s="82"/>
      <c r="F61" s="83"/>
      <c r="G61" s="83"/>
      <c r="H61" s="82"/>
      <c r="I61" s="82"/>
      <c r="J61" s="82"/>
      <c r="K61" s="82"/>
      <c r="L61" s="82"/>
      <c r="M61" s="82"/>
      <c r="S61" s="126" t="s">
        <v>399</v>
      </c>
    </row>
    <row r="62" spans="2:27" ht="18.75" customHeight="1" thickBot="1" x14ac:dyDescent="0.35">
      <c r="B62" s="25"/>
      <c r="C62" s="2"/>
      <c r="D62" s="2"/>
      <c r="E62" s="14"/>
      <c r="F62" s="2"/>
      <c r="G62" s="2"/>
      <c r="H62" s="2"/>
      <c r="I62" s="2"/>
      <c r="J62" s="2"/>
    </row>
    <row r="63" spans="2:27" ht="45" customHeight="1" thickTop="1" x14ac:dyDescent="0.25">
      <c r="B63" s="441" t="s">
        <v>445</v>
      </c>
      <c r="C63" s="478"/>
      <c r="D63" s="478"/>
      <c r="E63" s="478"/>
      <c r="F63" s="478"/>
      <c r="G63" s="478"/>
      <c r="H63" s="478"/>
      <c r="I63" s="478"/>
      <c r="J63" s="478"/>
      <c r="K63" s="478"/>
      <c r="L63" s="478"/>
      <c r="M63" s="479"/>
      <c r="N63" s="170"/>
      <c r="O63" s="167"/>
      <c r="S63" s="65">
        <v>1.5625E-2</v>
      </c>
      <c r="T63" s="7">
        <f>IF($F$36&lt;=300,2500,IF($F$36&lt;=800,4800,IF($F$36&lt;=2000,7400)))</f>
        <v>2500</v>
      </c>
      <c r="U63" s="128">
        <f>+IF($F$11&lt;24,T63,T63+$T$30)</f>
        <v>2500</v>
      </c>
      <c r="V63" s="7" t="s">
        <v>326</v>
      </c>
    </row>
    <row r="64" spans="2:27" ht="18.75" customHeight="1" thickBot="1" x14ac:dyDescent="0.3">
      <c r="B64" s="443" t="str">
        <f>IF($F$36&gt;1200,"MOST STYLES ARE NOT RECOMMENDED FOR THE GIVEN PRESSURE"," ")</f>
        <v xml:space="preserve"> </v>
      </c>
      <c r="C64" s="444"/>
      <c r="D64" s="444"/>
      <c r="E64" s="444"/>
      <c r="F64" s="444"/>
      <c r="G64" s="444"/>
      <c r="H64" s="444" t="str">
        <f>IF($F$7=$Q$38,"THICKNESS APPLIES TO GYLON EPIX ONLY"," ")</f>
        <v xml:space="preserve"> </v>
      </c>
      <c r="I64" s="444"/>
      <c r="J64" s="444"/>
      <c r="K64" s="444"/>
      <c r="L64" s="444"/>
      <c r="M64" s="449"/>
      <c r="N64" s="171"/>
      <c r="O64" s="164"/>
      <c r="S64" s="65">
        <v>3.125E-2</v>
      </c>
      <c r="T64" s="7">
        <f>IF($F$36&lt;=300,2500,IF($F$36&lt;=800,4800,IF($F$36&lt;=2000,7400)))</f>
        <v>2500</v>
      </c>
      <c r="U64" s="128">
        <f>+IF($F$11&lt;24,T64,T64+$T$30)</f>
        <v>2500</v>
      </c>
    </row>
    <row r="65" spans="2:22" ht="18.75" customHeight="1" thickBot="1" x14ac:dyDescent="0.35">
      <c r="B65" s="1"/>
      <c r="C65" s="2"/>
      <c r="D65" s="17" t="s">
        <v>319</v>
      </c>
      <c r="E65" s="2"/>
      <c r="F65" s="228">
        <f>($F$7)</f>
        <v>0</v>
      </c>
      <c r="G65" s="14" t="s">
        <v>321</v>
      </c>
      <c r="H65" s="38"/>
      <c r="I65" s="445" t="s">
        <v>396</v>
      </c>
      <c r="J65" s="445"/>
      <c r="K65" s="445"/>
      <c r="L65" s="445"/>
      <c r="M65" s="217"/>
      <c r="N65" s="173"/>
      <c r="O65" s="38"/>
      <c r="S65" s="65">
        <v>6.2E-2</v>
      </c>
      <c r="T65" s="7">
        <f>IF($F$36&lt;=300,3600,IF($F$36&lt;=800,5400,IF($F$36&lt;=2000,8400)))</f>
        <v>3600</v>
      </c>
      <c r="U65" s="128">
        <f>+IF($F$11&lt;24,T65,T65+$T$30)</f>
        <v>3600</v>
      </c>
    </row>
    <row r="66" spans="2:22" ht="19.2" customHeight="1" thickBot="1" x14ac:dyDescent="0.35">
      <c r="B66" s="50"/>
      <c r="C66" s="227"/>
      <c r="D66" s="14"/>
      <c r="E66" s="2"/>
      <c r="F66" s="57"/>
      <c r="G66" s="14"/>
      <c r="H66" s="227"/>
      <c r="I66" s="227"/>
      <c r="J66" s="227"/>
      <c r="K66" s="46"/>
      <c r="L66" s="181"/>
      <c r="M66" s="180"/>
      <c r="N66" s="173"/>
      <c r="O66" s="46"/>
      <c r="S66" s="65">
        <v>0.125</v>
      </c>
      <c r="T66" s="7">
        <f>IF($F$36&lt;=300,4800,IF($F$36&lt;=800,6400,IF($F$36&lt;=2000,9400)))</f>
        <v>4800</v>
      </c>
      <c r="U66" s="128">
        <f>+IF($F$11&lt;24,T66,T66+$T$30)</f>
        <v>4800</v>
      </c>
    </row>
    <row r="67" spans="2:22" ht="18.75" customHeight="1" thickBot="1" x14ac:dyDescent="0.3">
      <c r="B67" s="440" t="s">
        <v>389</v>
      </c>
      <c r="C67" s="187"/>
      <c r="D67" s="188" t="s">
        <v>390</v>
      </c>
      <c r="E67" s="189"/>
      <c r="F67" s="224" t="e">
        <f>LOOKUP(F65,S63:S67,U63:U67)</f>
        <v>#N/A</v>
      </c>
      <c r="G67" s="210" t="s">
        <v>19</v>
      </c>
      <c r="H67" s="220"/>
      <c r="I67" s="431" t="e">
        <f>IF(U71&lt;=0.75,$S$58,IF(U71&lt;=0.9,$S$59,IF(U71&lt;1,$S$60,IF(U71&gt;=1,$S$61))))</f>
        <v>#N/A</v>
      </c>
      <c r="J67" s="431"/>
      <c r="K67" s="431"/>
      <c r="L67" s="431"/>
      <c r="M67" s="221"/>
      <c r="N67" s="173"/>
      <c r="O67" s="46"/>
      <c r="S67" s="7" t="s">
        <v>438</v>
      </c>
      <c r="T67" s="7">
        <f>IF($F$36&lt;=300,3600,IF($F$36&lt;=800,5400,IF($F$36&lt;=2000,8400)))</f>
        <v>3600</v>
      </c>
      <c r="U67" s="128">
        <f>+IF($F$11&lt;24,T67,T67+$T$30)</f>
        <v>3600</v>
      </c>
    </row>
    <row r="68" spans="2:22" ht="3.75" customHeight="1" thickBot="1" x14ac:dyDescent="0.35">
      <c r="B68" s="440"/>
      <c r="C68" s="190"/>
      <c r="D68" s="191"/>
      <c r="E68" s="192"/>
      <c r="F68" s="193"/>
      <c r="G68" s="191"/>
      <c r="H68" s="190"/>
      <c r="I68" s="431"/>
      <c r="J68" s="431"/>
      <c r="K68" s="431"/>
      <c r="L68" s="431"/>
      <c r="M68" s="221"/>
      <c r="N68" s="173"/>
      <c r="O68" s="39"/>
      <c r="S68" s="7">
        <f>IF($F$26&lt;301,2500,IF($F$26&lt;801,4800,IF($F$26&lt;2001,7400,IF($F$26&gt;2000,$S$11))))</f>
        <v>2500</v>
      </c>
      <c r="T68" s="7">
        <f>IF($F$26&lt;301,3600,IF($F$26&lt;801,5400,IF($F$26&lt;2001,8400,IF($F$26&gt;2000,$S$11))))</f>
        <v>3600</v>
      </c>
      <c r="U68" s="7">
        <f>IF($F$26&lt;301,4800,IF($F$26&lt;801,6400,IF($F$26&lt;2001,9400,IF($F$26&gt;2000,$S$11))))</f>
        <v>4800</v>
      </c>
    </row>
    <row r="69" spans="2:22" ht="18.75" customHeight="1" thickBot="1" x14ac:dyDescent="0.35">
      <c r="B69" s="440"/>
      <c r="C69" s="190"/>
      <c r="D69" s="194" t="s">
        <v>391</v>
      </c>
      <c r="E69" s="195"/>
      <c r="F69" s="225" t="e">
        <f>(F67*$F$56/$F$54)</f>
        <v>#N/A</v>
      </c>
      <c r="G69" s="211" t="s">
        <v>16</v>
      </c>
      <c r="H69" s="190"/>
      <c r="I69" s="431"/>
      <c r="J69" s="431"/>
      <c r="K69" s="431"/>
      <c r="L69" s="431"/>
      <c r="M69" s="221"/>
      <c r="N69" s="173"/>
      <c r="O69" s="39"/>
    </row>
    <row r="70" spans="2:22" ht="3.75" customHeight="1" thickBot="1" x14ac:dyDescent="0.35">
      <c r="B70" s="440"/>
      <c r="C70" s="196"/>
      <c r="D70" s="197"/>
      <c r="E70" s="192"/>
      <c r="F70" s="193"/>
      <c r="G70" s="212"/>
      <c r="H70" s="196"/>
      <c r="I70" s="431"/>
      <c r="J70" s="431"/>
      <c r="K70" s="431"/>
      <c r="L70" s="431"/>
      <c r="M70" s="221"/>
      <c r="N70" s="173"/>
      <c r="O70" s="94"/>
    </row>
    <row r="71" spans="2:22" ht="18.75" customHeight="1" thickBot="1" x14ac:dyDescent="0.35">
      <c r="B71" s="440"/>
      <c r="C71" s="196"/>
      <c r="D71" s="197" t="s">
        <v>392</v>
      </c>
      <c r="E71" s="192"/>
      <c r="F71" s="225" t="e">
        <f>(F67*$F$46/$F$54)</f>
        <v>#N/A</v>
      </c>
      <c r="G71" s="213" t="s">
        <v>19</v>
      </c>
      <c r="H71" s="196"/>
      <c r="I71" s="431"/>
      <c r="J71" s="431"/>
      <c r="K71" s="431"/>
      <c r="L71" s="431"/>
      <c r="M71" s="221"/>
      <c r="N71" s="173"/>
      <c r="O71" s="94"/>
      <c r="S71" s="206" t="s">
        <v>394</v>
      </c>
      <c r="T71" s="207"/>
      <c r="U71" s="208" t="e">
        <f>F71/$F$42</f>
        <v>#N/A</v>
      </c>
    </row>
    <row r="72" spans="2:22" ht="18" customHeight="1" thickBot="1" x14ac:dyDescent="0.3">
      <c r="B72" s="1"/>
      <c r="C72" s="11"/>
      <c r="D72" s="95"/>
      <c r="E72" s="94"/>
      <c r="F72" s="96"/>
      <c r="G72" s="97"/>
      <c r="H72" s="84"/>
      <c r="I72" s="84"/>
      <c r="J72" s="84"/>
      <c r="K72" s="84"/>
      <c r="L72" s="181"/>
      <c r="M72" s="180"/>
      <c r="N72" s="173"/>
      <c r="O72" s="84"/>
    </row>
    <row r="73" spans="2:22" ht="18.75" customHeight="1" thickBot="1" x14ac:dyDescent="0.3">
      <c r="B73" s="440" t="s">
        <v>393</v>
      </c>
      <c r="C73" s="198"/>
      <c r="D73" s="199" t="s">
        <v>390</v>
      </c>
      <c r="E73" s="196"/>
      <c r="F73" s="226">
        <v>15000</v>
      </c>
      <c r="G73" s="214" t="s">
        <v>19</v>
      </c>
      <c r="H73" s="220"/>
      <c r="I73" s="431" t="e">
        <f>IF(U77&lt;=0.75,$S$58,IF(U77&lt;=0.9,$S$59,IF(U77&lt;1,$S$60,IF(U77&gt;=1,$S$61))))</f>
        <v>#N/A</v>
      </c>
      <c r="J73" s="431"/>
      <c r="K73" s="431"/>
      <c r="L73" s="431"/>
      <c r="M73" s="221"/>
      <c r="N73" s="174"/>
      <c r="O73" s="84"/>
    </row>
    <row r="74" spans="2:22" ht="3.75" customHeight="1" thickBot="1" x14ac:dyDescent="0.3">
      <c r="B74" s="440"/>
      <c r="C74" s="198"/>
      <c r="D74" s="188"/>
      <c r="E74" s="201"/>
      <c r="F74" s="202"/>
      <c r="G74" s="215"/>
      <c r="H74" s="220"/>
      <c r="I74" s="431"/>
      <c r="J74" s="431"/>
      <c r="K74" s="431"/>
      <c r="L74" s="431"/>
      <c r="M74" s="221"/>
      <c r="N74" s="174"/>
      <c r="O74" s="84"/>
    </row>
    <row r="75" spans="2:22" ht="18.75" customHeight="1" thickBot="1" x14ac:dyDescent="0.35">
      <c r="B75" s="440"/>
      <c r="C75" s="198"/>
      <c r="D75" s="188" t="s">
        <v>391</v>
      </c>
      <c r="E75" s="198"/>
      <c r="F75" s="225" t="e">
        <f>(F73*$F$56/$F$54)</f>
        <v>#N/A</v>
      </c>
      <c r="G75" s="210" t="s">
        <v>16</v>
      </c>
      <c r="H75" s="222"/>
      <c r="I75" s="431"/>
      <c r="J75" s="431"/>
      <c r="K75" s="431"/>
      <c r="L75" s="431"/>
      <c r="M75" s="221"/>
      <c r="N75" s="174"/>
      <c r="O75" s="84"/>
    </row>
    <row r="76" spans="2:22" ht="3.75" customHeight="1" thickBot="1" x14ac:dyDescent="0.3">
      <c r="B76" s="440"/>
      <c r="C76" s="201"/>
      <c r="D76" s="203"/>
      <c r="E76" s="198"/>
      <c r="F76" s="204"/>
      <c r="G76" s="216"/>
      <c r="H76" s="223"/>
      <c r="I76" s="431"/>
      <c r="J76" s="431"/>
      <c r="K76" s="431"/>
      <c r="L76" s="431"/>
      <c r="M76" s="221"/>
      <c r="N76" s="175"/>
      <c r="O76" s="84"/>
    </row>
    <row r="77" spans="2:22" ht="18.75" customHeight="1" thickBot="1" x14ac:dyDescent="0.35">
      <c r="B77" s="440"/>
      <c r="C77" s="205"/>
      <c r="D77" s="188" t="s">
        <v>392</v>
      </c>
      <c r="E77" s="198"/>
      <c r="F77" s="225" t="e">
        <f>(F73*$F$46/$F$54)</f>
        <v>#N/A</v>
      </c>
      <c r="G77" s="213" t="s">
        <v>19</v>
      </c>
      <c r="H77" s="223"/>
      <c r="I77" s="431"/>
      <c r="J77" s="431"/>
      <c r="K77" s="431"/>
      <c r="L77" s="431"/>
      <c r="M77" s="221"/>
      <c r="N77" s="175"/>
      <c r="O77" s="84"/>
      <c r="S77" s="206" t="s">
        <v>395</v>
      </c>
      <c r="T77" s="207"/>
      <c r="U77" s="208" t="e">
        <f>F77/$F$42</f>
        <v>#N/A</v>
      </c>
    </row>
    <row r="78" spans="2:22" ht="3.75" customHeight="1" thickBot="1" x14ac:dyDescent="0.3">
      <c r="B78" s="59"/>
      <c r="C78" s="60"/>
      <c r="D78" s="61"/>
      <c r="E78" s="60"/>
      <c r="F78" s="62"/>
      <c r="G78" s="60"/>
      <c r="H78" s="184"/>
      <c r="I78" s="184"/>
      <c r="J78" s="184"/>
      <c r="K78" s="184"/>
      <c r="L78" s="185"/>
      <c r="M78" s="186"/>
      <c r="N78" s="171"/>
      <c r="O78" s="164"/>
    </row>
    <row r="79" spans="2:22" ht="18.75" customHeight="1" thickTop="1" thickBot="1" x14ac:dyDescent="0.3">
      <c r="B79" s="38"/>
      <c r="C79" s="44"/>
      <c r="D79" s="48"/>
      <c r="E79" s="44"/>
      <c r="F79" s="44"/>
      <c r="G79" s="45"/>
      <c r="H79" s="38"/>
      <c r="I79" s="38"/>
      <c r="J79" s="38"/>
      <c r="K79" s="38"/>
      <c r="L79" s="176"/>
      <c r="M79" s="176"/>
      <c r="N79" s="176"/>
      <c r="O79" s="38"/>
    </row>
    <row r="80" spans="2:22" ht="36" customHeight="1" thickTop="1" x14ac:dyDescent="0.25">
      <c r="B80" s="477" t="s">
        <v>403</v>
      </c>
      <c r="C80" s="478"/>
      <c r="D80" s="478"/>
      <c r="E80" s="478"/>
      <c r="F80" s="478"/>
      <c r="G80" s="478"/>
      <c r="H80" s="478"/>
      <c r="I80" s="478"/>
      <c r="J80" s="478"/>
      <c r="K80" s="478"/>
      <c r="L80" s="478"/>
      <c r="M80" s="479"/>
      <c r="N80" s="170"/>
      <c r="O80" s="167"/>
      <c r="S80" s="65">
        <v>1.5625E-2</v>
      </c>
      <c r="T80" s="7">
        <f>IF($F$36&lt;=300,2500,IF($F$36&lt;=800,4800,IF($F$36&lt;=2000,7400)))</f>
        <v>2500</v>
      </c>
      <c r="U80" s="128">
        <f>+IF($F$11&lt;24,T80,T80+$T$30)</f>
        <v>2500</v>
      </c>
      <c r="V80" s="7" t="s">
        <v>326</v>
      </c>
    </row>
    <row r="81" spans="2:21" ht="18.75" customHeight="1" thickBot="1" x14ac:dyDescent="0.3">
      <c r="B81" s="443" t="str">
        <f>IF($F$36&gt;500,"NOT RECOMMENDED FOR THE GIVEN PRESSURE"," ")</f>
        <v xml:space="preserve"> </v>
      </c>
      <c r="C81" s="444"/>
      <c r="D81" s="444"/>
      <c r="E81" s="444"/>
      <c r="F81" s="444"/>
      <c r="G81" s="444"/>
      <c r="H81" s="444" t="str">
        <f>IF($F$7=$Q$38,"THICKNESS APPLIES TO GYLON EPIX ONLY"," ")</f>
        <v xml:space="preserve"> </v>
      </c>
      <c r="I81" s="444"/>
      <c r="J81" s="444"/>
      <c r="K81" s="444"/>
      <c r="L81" s="444"/>
      <c r="M81" s="449"/>
      <c r="N81" s="171"/>
      <c r="O81" s="164"/>
      <c r="S81" s="65">
        <v>3.125E-2</v>
      </c>
      <c r="T81" s="7">
        <f>IF($F$36&lt;=300,2500,IF($F$36&lt;=800,4800,IF($F$36&lt;=2000,7400)))</f>
        <v>2500</v>
      </c>
      <c r="U81" s="128">
        <f>+IF($F$11&lt;24,T81,T81+$T$30)</f>
        <v>2500</v>
      </c>
    </row>
    <row r="82" spans="2:21" ht="18.75" customHeight="1" thickBot="1" x14ac:dyDescent="0.35">
      <c r="B82" s="1"/>
      <c r="C82" s="2"/>
      <c r="D82" s="17" t="s">
        <v>319</v>
      </c>
      <c r="E82" s="2"/>
      <c r="F82" s="228">
        <f>($F$7)</f>
        <v>0</v>
      </c>
      <c r="G82" s="14" t="s">
        <v>321</v>
      </c>
      <c r="H82" s="38"/>
      <c r="I82" s="445" t="s">
        <v>396</v>
      </c>
      <c r="J82" s="445"/>
      <c r="K82" s="445"/>
      <c r="L82" s="445"/>
      <c r="M82" s="217"/>
      <c r="N82" s="173"/>
      <c r="O82" s="38"/>
      <c r="S82" s="65">
        <v>6.2E-2</v>
      </c>
      <c r="T82" s="7">
        <f>IF($F$36&lt;=300,3600,IF($F$36&lt;=800,5400,IF($F$36&lt;=2000,8400)))</f>
        <v>3600</v>
      </c>
      <c r="U82" s="128">
        <f>+IF($F$11&lt;24,T82,T82+$T$30)</f>
        <v>3600</v>
      </c>
    </row>
    <row r="83" spans="2:21" ht="19.2" customHeight="1" thickBot="1" x14ac:dyDescent="0.35">
      <c r="B83" s="50"/>
      <c r="C83" s="227"/>
      <c r="D83" s="14"/>
      <c r="E83" s="2"/>
      <c r="F83" s="57"/>
      <c r="G83" s="14"/>
      <c r="H83" s="227"/>
      <c r="I83" s="227"/>
      <c r="J83" s="227"/>
      <c r="K83" s="46"/>
      <c r="L83" s="181"/>
      <c r="M83" s="180"/>
      <c r="N83" s="173"/>
      <c r="O83" s="46"/>
      <c r="S83" s="65">
        <v>0.125</v>
      </c>
      <c r="T83" s="7">
        <f>IF($F$36&lt;=300,4800,IF($F$36&lt;=800,6400,IF($F$36&lt;=2000,9400)))</f>
        <v>4800</v>
      </c>
      <c r="U83" s="128">
        <f>+IF($F$11&lt;24,T83,T83+$T$30)</f>
        <v>4800</v>
      </c>
    </row>
    <row r="84" spans="2:21" ht="18.75" customHeight="1" thickBot="1" x14ac:dyDescent="0.3">
      <c r="B84" s="440" t="s">
        <v>389</v>
      </c>
      <c r="C84" s="187"/>
      <c r="D84" s="188" t="s">
        <v>390</v>
      </c>
      <c r="E84" s="189"/>
      <c r="F84" s="224" t="e">
        <f>LOOKUP(F82,S80:S83,U80:U83)</f>
        <v>#N/A</v>
      </c>
      <c r="G84" s="210" t="s">
        <v>19</v>
      </c>
      <c r="H84" s="220"/>
      <c r="I84" s="431" t="e">
        <f>IF(U88&lt;=0.75,$S$58,IF(U88&lt;=0.9,$S$59,IF(U88&lt;1,$S$60,IF(U88&gt;=1,$S$61))))</f>
        <v>#N/A</v>
      </c>
      <c r="J84" s="431"/>
      <c r="K84" s="431"/>
      <c r="L84" s="431"/>
      <c r="M84" s="221"/>
      <c r="N84" s="173"/>
      <c r="O84" s="46"/>
    </row>
    <row r="85" spans="2:21" ht="3.75" customHeight="1" thickBot="1" x14ac:dyDescent="0.35">
      <c r="B85" s="440"/>
      <c r="C85" s="190"/>
      <c r="D85" s="191"/>
      <c r="E85" s="192"/>
      <c r="F85" s="193"/>
      <c r="G85" s="191"/>
      <c r="H85" s="190"/>
      <c r="I85" s="431"/>
      <c r="J85" s="431"/>
      <c r="K85" s="431"/>
      <c r="L85" s="431"/>
      <c r="M85" s="221"/>
      <c r="N85" s="173"/>
      <c r="O85" s="39"/>
      <c r="S85" s="7">
        <f>IF($F$26&lt;301,2500,IF($F$26&lt;801,4800,IF($F$26&lt;2001,7400,IF($F$26&gt;2000,$S$11))))</f>
        <v>2500</v>
      </c>
      <c r="T85" s="7">
        <f>IF($F$26&lt;301,3600,IF($F$26&lt;801,5400,IF($F$26&lt;2001,8400,IF($F$26&gt;2000,$S$11))))</f>
        <v>3600</v>
      </c>
    </row>
    <row r="86" spans="2:21" ht="18.75" customHeight="1" thickBot="1" x14ac:dyDescent="0.35">
      <c r="B86" s="440"/>
      <c r="C86" s="190"/>
      <c r="D86" s="194" t="s">
        <v>391</v>
      </c>
      <c r="E86" s="195"/>
      <c r="F86" s="225" t="e">
        <f>(F84*$F$56/$F$54)</f>
        <v>#N/A</v>
      </c>
      <c r="G86" s="211" t="s">
        <v>16</v>
      </c>
      <c r="H86" s="190"/>
      <c r="I86" s="431"/>
      <c r="J86" s="431"/>
      <c r="K86" s="431"/>
      <c r="L86" s="431"/>
      <c r="M86" s="221"/>
      <c r="N86" s="173"/>
      <c r="O86" s="39"/>
    </row>
    <row r="87" spans="2:21" ht="3.75" customHeight="1" thickBot="1" x14ac:dyDescent="0.35">
      <c r="B87" s="440"/>
      <c r="C87" s="196"/>
      <c r="D87" s="197"/>
      <c r="E87" s="192"/>
      <c r="F87" s="193"/>
      <c r="G87" s="212"/>
      <c r="H87" s="196"/>
      <c r="I87" s="431"/>
      <c r="J87" s="431"/>
      <c r="K87" s="431"/>
      <c r="L87" s="431"/>
      <c r="M87" s="221"/>
      <c r="N87" s="173"/>
      <c r="O87" s="94"/>
    </row>
    <row r="88" spans="2:21" ht="18.75" customHeight="1" thickBot="1" x14ac:dyDescent="0.35">
      <c r="B88" s="440"/>
      <c r="C88" s="196"/>
      <c r="D88" s="197" t="s">
        <v>392</v>
      </c>
      <c r="E88" s="192"/>
      <c r="F88" s="225" t="e">
        <f>(F84*$F$46/$F$54)</f>
        <v>#N/A</v>
      </c>
      <c r="G88" s="213" t="s">
        <v>19</v>
      </c>
      <c r="H88" s="196"/>
      <c r="I88" s="431"/>
      <c r="J88" s="431"/>
      <c r="K88" s="431"/>
      <c r="L88" s="431"/>
      <c r="M88" s="221"/>
      <c r="N88" s="173"/>
      <c r="O88" s="94"/>
      <c r="S88" s="206" t="s">
        <v>394</v>
      </c>
      <c r="T88" s="207"/>
      <c r="U88" s="208" t="e">
        <f>F88/$F$42</f>
        <v>#N/A</v>
      </c>
    </row>
    <row r="89" spans="2:21" ht="19.2" customHeight="1" thickBot="1" x14ac:dyDescent="0.3">
      <c r="B89" s="1"/>
      <c r="C89" s="11"/>
      <c r="D89" s="95"/>
      <c r="E89" s="94"/>
      <c r="F89" s="96"/>
      <c r="G89" s="97"/>
      <c r="H89" s="84"/>
      <c r="I89" s="84"/>
      <c r="J89" s="84"/>
      <c r="K89" s="84"/>
      <c r="L89" s="181"/>
      <c r="M89" s="180"/>
      <c r="N89" s="173"/>
      <c r="O89" s="84"/>
    </row>
    <row r="90" spans="2:21" ht="18.75" customHeight="1" thickBot="1" x14ac:dyDescent="0.3">
      <c r="B90" s="440" t="s">
        <v>393</v>
      </c>
      <c r="C90" s="198"/>
      <c r="D90" s="199" t="s">
        <v>390</v>
      </c>
      <c r="E90" s="196"/>
      <c r="F90" s="226">
        <v>10000</v>
      </c>
      <c r="G90" s="214" t="s">
        <v>19</v>
      </c>
      <c r="H90" s="220"/>
      <c r="I90" s="431" t="e">
        <f>IF(U94&lt;=0.75,$S$58,IF(U94&lt;=0.9,$S$59,IF(U94&lt;1,$S$60,IF(U94&gt;=1,$S$61))))</f>
        <v>#N/A</v>
      </c>
      <c r="J90" s="431"/>
      <c r="K90" s="431"/>
      <c r="L90" s="431"/>
      <c r="M90" s="221"/>
      <c r="N90" s="174"/>
      <c r="O90" s="84"/>
    </row>
    <row r="91" spans="2:21" ht="3.75" customHeight="1" thickBot="1" x14ac:dyDescent="0.3">
      <c r="B91" s="440"/>
      <c r="C91" s="198"/>
      <c r="D91" s="188"/>
      <c r="E91" s="201"/>
      <c r="F91" s="202"/>
      <c r="G91" s="215"/>
      <c r="H91" s="220"/>
      <c r="I91" s="431"/>
      <c r="J91" s="431"/>
      <c r="K91" s="431"/>
      <c r="L91" s="431"/>
      <c r="M91" s="221"/>
      <c r="N91" s="174"/>
      <c r="O91" s="84"/>
    </row>
    <row r="92" spans="2:21" ht="18.75" customHeight="1" thickBot="1" x14ac:dyDescent="0.35">
      <c r="B92" s="440"/>
      <c r="C92" s="198"/>
      <c r="D92" s="188" t="s">
        <v>391</v>
      </c>
      <c r="E92" s="198"/>
      <c r="F92" s="225" t="e">
        <f>(F90*$F$56/$F$54)</f>
        <v>#N/A</v>
      </c>
      <c r="G92" s="210" t="s">
        <v>16</v>
      </c>
      <c r="H92" s="222"/>
      <c r="I92" s="431"/>
      <c r="J92" s="431"/>
      <c r="K92" s="431"/>
      <c r="L92" s="431"/>
      <c r="M92" s="221"/>
      <c r="N92" s="174"/>
      <c r="O92" s="84"/>
    </row>
    <row r="93" spans="2:21" ht="3.75" customHeight="1" thickBot="1" x14ac:dyDescent="0.3">
      <c r="B93" s="440"/>
      <c r="C93" s="201"/>
      <c r="D93" s="203"/>
      <c r="E93" s="198"/>
      <c r="F93" s="204"/>
      <c r="G93" s="216"/>
      <c r="H93" s="223"/>
      <c r="I93" s="431"/>
      <c r="J93" s="431"/>
      <c r="K93" s="431"/>
      <c r="L93" s="431"/>
      <c r="M93" s="221"/>
      <c r="N93" s="175"/>
      <c r="O93" s="84"/>
    </row>
    <row r="94" spans="2:21" ht="18.75" customHeight="1" thickBot="1" x14ac:dyDescent="0.35">
      <c r="B94" s="440"/>
      <c r="C94" s="205"/>
      <c r="D94" s="188" t="s">
        <v>392</v>
      </c>
      <c r="E94" s="198"/>
      <c r="F94" s="225" t="e">
        <f>(F90*$F$46/$F$54)</f>
        <v>#N/A</v>
      </c>
      <c r="G94" s="213" t="s">
        <v>19</v>
      </c>
      <c r="H94" s="223"/>
      <c r="I94" s="431"/>
      <c r="J94" s="431"/>
      <c r="K94" s="431"/>
      <c r="L94" s="431"/>
      <c r="M94" s="221"/>
      <c r="N94" s="175"/>
      <c r="O94" s="84"/>
      <c r="S94" s="206" t="s">
        <v>395</v>
      </c>
      <c r="T94" s="207"/>
      <c r="U94" s="208" t="e">
        <f>F94/$F$42</f>
        <v>#N/A</v>
      </c>
    </row>
    <row r="95" spans="2:21" ht="3.75" customHeight="1" thickBot="1" x14ac:dyDescent="0.3">
      <c r="B95" s="59"/>
      <c r="C95" s="60"/>
      <c r="D95" s="61"/>
      <c r="E95" s="60"/>
      <c r="F95" s="62"/>
      <c r="G95" s="60"/>
      <c r="H95" s="184"/>
      <c r="I95" s="184"/>
      <c r="J95" s="184"/>
      <c r="K95" s="184"/>
      <c r="L95" s="185"/>
      <c r="M95" s="186"/>
      <c r="N95" s="171"/>
      <c r="O95" s="164"/>
    </row>
    <row r="96" spans="2:21" ht="18.75" customHeight="1" thickTop="1" thickBot="1" x14ac:dyDescent="0.3">
      <c r="B96" s="38"/>
      <c r="C96" s="44"/>
      <c r="D96" s="48"/>
      <c r="E96" s="44"/>
      <c r="F96" s="44"/>
      <c r="G96" s="45"/>
      <c r="H96" s="38"/>
      <c r="I96" s="38"/>
      <c r="J96" s="38"/>
      <c r="K96" s="38"/>
      <c r="L96" s="176"/>
      <c r="M96" s="176"/>
      <c r="N96" s="176"/>
      <c r="O96" s="38"/>
    </row>
    <row r="97" spans="2:22" ht="36" customHeight="1" thickTop="1" x14ac:dyDescent="0.25">
      <c r="B97" s="477" t="s">
        <v>439</v>
      </c>
      <c r="C97" s="478"/>
      <c r="D97" s="478"/>
      <c r="E97" s="478"/>
      <c r="F97" s="478"/>
      <c r="G97" s="478"/>
      <c r="H97" s="478"/>
      <c r="I97" s="478"/>
      <c r="J97" s="478"/>
      <c r="K97" s="478"/>
      <c r="L97" s="478"/>
      <c r="M97" s="479"/>
      <c r="N97" s="170"/>
      <c r="O97" s="167"/>
      <c r="S97" s="65">
        <v>1.5625E-2</v>
      </c>
      <c r="T97" s="7">
        <f>IF($F$36&lt;=300,2500,IF($F$36&lt;=800,4800,IF($F$36&lt;=2000,7400)))</f>
        <v>2500</v>
      </c>
      <c r="U97" s="128">
        <f>+IF($F$11&lt;24,T97,T97+$T$30)</f>
        <v>2500</v>
      </c>
      <c r="V97" s="7" t="s">
        <v>326</v>
      </c>
    </row>
    <row r="98" spans="2:22" ht="18.75" customHeight="1" thickBot="1" x14ac:dyDescent="0.3">
      <c r="B98" s="443" t="str">
        <f>IF($F$36&gt;2000,"NOT RECOMMENDED FOR THE GIVEN PRESSURE"," ")</f>
        <v xml:space="preserve"> </v>
      </c>
      <c r="C98" s="444"/>
      <c r="D98" s="444"/>
      <c r="E98" s="444"/>
      <c r="F98" s="444"/>
      <c r="G98" s="444"/>
      <c r="H98" s="444" t="str">
        <f>IF($F$7=$Q$38,"THICKNESS APPLIES TO GYLON EPIX ONLY"," ")</f>
        <v xml:space="preserve"> </v>
      </c>
      <c r="I98" s="444"/>
      <c r="J98" s="444"/>
      <c r="K98" s="444"/>
      <c r="L98" s="444"/>
      <c r="M98" s="449"/>
      <c r="N98" s="171"/>
      <c r="O98" s="164"/>
      <c r="S98" s="65">
        <v>3.125E-2</v>
      </c>
      <c r="T98" s="7">
        <f>IF($F$36&lt;=300,2500,IF($F$36&lt;=800,4800,IF($F$36&lt;=2000,7400)))</f>
        <v>2500</v>
      </c>
      <c r="U98" s="128">
        <f>+IF($F$11&lt;24,T98,T98+$T$30)</f>
        <v>2500</v>
      </c>
    </row>
    <row r="99" spans="2:22" ht="18.75" customHeight="1" thickBot="1" x14ac:dyDescent="0.35">
      <c r="B99" s="1"/>
      <c r="C99" s="2"/>
      <c r="D99" s="17" t="s">
        <v>319</v>
      </c>
      <c r="E99" s="2"/>
      <c r="F99" s="228">
        <f>($F$7)</f>
        <v>0</v>
      </c>
      <c r="G99" s="14" t="s">
        <v>321</v>
      </c>
      <c r="H99" s="38"/>
      <c r="I99" s="445" t="s">
        <v>396</v>
      </c>
      <c r="J99" s="445"/>
      <c r="K99" s="445"/>
      <c r="L99" s="445"/>
      <c r="M99" s="217"/>
      <c r="N99" s="173"/>
      <c r="O99" s="38"/>
      <c r="S99" s="65">
        <v>6.2E-2</v>
      </c>
      <c r="T99" s="7">
        <f>IF($F$36&lt;=300,3600,IF($F$36&lt;=800,5400,IF($F$36&lt;=2000,8400)))</f>
        <v>3600</v>
      </c>
      <c r="U99" s="128">
        <f>+IF($F$11&lt;24,T99,T99+$T$30)</f>
        <v>3600</v>
      </c>
    </row>
    <row r="100" spans="2:22" ht="19.2" customHeight="1" thickBot="1" x14ac:dyDescent="0.35">
      <c r="B100" s="50"/>
      <c r="C100" s="227"/>
      <c r="D100" s="14"/>
      <c r="E100" s="2"/>
      <c r="F100" s="57"/>
      <c r="G100" s="14"/>
      <c r="H100" s="227"/>
      <c r="I100" s="227"/>
      <c r="J100" s="227"/>
      <c r="K100" s="46"/>
      <c r="L100" s="181"/>
      <c r="M100" s="180"/>
      <c r="N100" s="173"/>
      <c r="O100" s="46"/>
      <c r="S100" s="65">
        <v>0.125</v>
      </c>
      <c r="T100" s="7">
        <f>IF($F$36&lt;=300,4800,IF($F$36&lt;=800,6400,IF($F$36&lt;=2000,9400)))</f>
        <v>4800</v>
      </c>
      <c r="U100" s="128">
        <f>+IF($F$11&lt;24,T100,T100+$T$30)</f>
        <v>4800</v>
      </c>
    </row>
    <row r="101" spans="2:22" ht="18.75" customHeight="1" thickBot="1" x14ac:dyDescent="0.3">
      <c r="B101" s="440" t="s">
        <v>389</v>
      </c>
      <c r="C101" s="187"/>
      <c r="D101" s="188" t="s">
        <v>390</v>
      </c>
      <c r="E101" s="189"/>
      <c r="F101" s="224" t="e">
        <f>LOOKUP(F99,S97:S100,U97:U100)</f>
        <v>#N/A</v>
      </c>
      <c r="G101" s="210" t="s">
        <v>19</v>
      </c>
      <c r="H101" s="220"/>
      <c r="I101" s="431" t="e">
        <f>IF(U105&lt;=0.75,$S$58,IF(U105&lt;=0.9,$S$59,IF(U105&lt;1,$S$60,IF(U105&gt;=1,$S$61))))</f>
        <v>#N/A</v>
      </c>
      <c r="J101" s="431"/>
      <c r="K101" s="431"/>
      <c r="L101" s="431"/>
      <c r="M101" s="221"/>
      <c r="N101" s="173"/>
      <c r="O101" s="46"/>
    </row>
    <row r="102" spans="2:22" ht="3.75" customHeight="1" thickBot="1" x14ac:dyDescent="0.35">
      <c r="B102" s="440"/>
      <c r="C102" s="190"/>
      <c r="D102" s="191"/>
      <c r="E102" s="192"/>
      <c r="F102" s="193"/>
      <c r="G102" s="191"/>
      <c r="H102" s="190"/>
      <c r="I102" s="431"/>
      <c r="J102" s="431"/>
      <c r="K102" s="431"/>
      <c r="L102" s="431"/>
      <c r="M102" s="221"/>
      <c r="N102" s="173"/>
      <c r="O102" s="39"/>
      <c r="S102" s="7">
        <f>IF($F$26&lt;301,2500,IF($F$26&lt;801,4800,IF($F$26&lt;2001,7400,IF($F$26&gt;2000,$S$11))))</f>
        <v>2500</v>
      </c>
      <c r="T102" s="7">
        <f>IF($F$26&lt;301,3600,IF($F$26&lt;801,5400,IF($F$26&lt;2001,8400,IF($F$26&gt;2000,$S$11))))</f>
        <v>3600</v>
      </c>
    </row>
    <row r="103" spans="2:22" ht="18.75" customHeight="1" thickBot="1" x14ac:dyDescent="0.35">
      <c r="B103" s="440"/>
      <c r="C103" s="190"/>
      <c r="D103" s="194" t="s">
        <v>391</v>
      </c>
      <c r="E103" s="195"/>
      <c r="F103" s="225" t="e">
        <f>(F101*$F$56/$F$54)</f>
        <v>#N/A</v>
      </c>
      <c r="G103" s="211" t="s">
        <v>16</v>
      </c>
      <c r="H103" s="190"/>
      <c r="I103" s="431"/>
      <c r="J103" s="431"/>
      <c r="K103" s="431"/>
      <c r="L103" s="431"/>
      <c r="M103" s="221"/>
      <c r="N103" s="173"/>
      <c r="O103" s="39"/>
    </row>
    <row r="104" spans="2:22" ht="3.75" customHeight="1" thickBot="1" x14ac:dyDescent="0.35">
      <c r="B104" s="440"/>
      <c r="C104" s="196"/>
      <c r="D104" s="197"/>
      <c r="E104" s="192"/>
      <c r="F104" s="193"/>
      <c r="G104" s="212"/>
      <c r="H104" s="196"/>
      <c r="I104" s="431"/>
      <c r="J104" s="431"/>
      <c r="K104" s="431"/>
      <c r="L104" s="431"/>
      <c r="M104" s="221"/>
      <c r="N104" s="173"/>
      <c r="O104" s="94"/>
    </row>
    <row r="105" spans="2:22" ht="18.75" customHeight="1" thickBot="1" x14ac:dyDescent="0.35">
      <c r="B105" s="440"/>
      <c r="C105" s="196"/>
      <c r="D105" s="197" t="s">
        <v>392</v>
      </c>
      <c r="E105" s="192"/>
      <c r="F105" s="225" t="e">
        <f>(F101*$F$46/$F$54)</f>
        <v>#N/A</v>
      </c>
      <c r="G105" s="213" t="s">
        <v>19</v>
      </c>
      <c r="H105" s="196"/>
      <c r="I105" s="431"/>
      <c r="J105" s="431"/>
      <c r="K105" s="431"/>
      <c r="L105" s="431"/>
      <c r="M105" s="221"/>
      <c r="N105" s="173"/>
      <c r="O105" s="94"/>
      <c r="S105" s="206" t="s">
        <v>394</v>
      </c>
      <c r="T105" s="207"/>
      <c r="U105" s="208" t="e">
        <f>F105/$F$42</f>
        <v>#N/A</v>
      </c>
    </row>
    <row r="106" spans="2:22" ht="19.2" customHeight="1" thickBot="1" x14ac:dyDescent="0.3">
      <c r="B106" s="1"/>
      <c r="C106" s="11"/>
      <c r="D106" s="95"/>
      <c r="E106" s="94"/>
      <c r="F106" s="96"/>
      <c r="G106" s="97"/>
      <c r="H106" s="84"/>
      <c r="I106" s="84"/>
      <c r="J106" s="84"/>
      <c r="K106" s="84"/>
      <c r="L106" s="181"/>
      <c r="M106" s="180"/>
      <c r="N106" s="173"/>
      <c r="O106" s="84"/>
    </row>
    <row r="107" spans="2:22" ht="18.75" customHeight="1" thickBot="1" x14ac:dyDescent="0.3">
      <c r="B107" s="440" t="s">
        <v>393</v>
      </c>
      <c r="C107" s="198"/>
      <c r="D107" s="199" t="s">
        <v>390</v>
      </c>
      <c r="E107" s="196"/>
      <c r="F107" s="226">
        <v>10000</v>
      </c>
      <c r="G107" s="214" t="s">
        <v>19</v>
      </c>
      <c r="H107" s="220"/>
      <c r="I107" s="431" t="e">
        <f>IF(U111&lt;=0.75,$S$58,IF(U111&lt;=0.9,$S$59,IF(U111&lt;1,$S$60,IF(U111&gt;=1,$S$61))))</f>
        <v>#N/A</v>
      </c>
      <c r="J107" s="431"/>
      <c r="K107" s="431"/>
      <c r="L107" s="431"/>
      <c r="M107" s="221"/>
      <c r="N107" s="174"/>
      <c r="O107" s="84"/>
    </row>
    <row r="108" spans="2:22" ht="3.75" customHeight="1" thickBot="1" x14ac:dyDescent="0.3">
      <c r="B108" s="440"/>
      <c r="C108" s="198"/>
      <c r="D108" s="188"/>
      <c r="E108" s="201"/>
      <c r="F108" s="202"/>
      <c r="G108" s="215"/>
      <c r="H108" s="220"/>
      <c r="I108" s="431"/>
      <c r="J108" s="431"/>
      <c r="K108" s="431"/>
      <c r="L108" s="431"/>
      <c r="M108" s="221"/>
      <c r="N108" s="174"/>
      <c r="O108" s="84"/>
    </row>
    <row r="109" spans="2:22" ht="18.75" customHeight="1" thickBot="1" x14ac:dyDescent="0.35">
      <c r="B109" s="440"/>
      <c r="C109" s="198"/>
      <c r="D109" s="188" t="s">
        <v>391</v>
      </c>
      <c r="E109" s="198"/>
      <c r="F109" s="225" t="e">
        <f>(F107*$F$56/$F$54)</f>
        <v>#N/A</v>
      </c>
      <c r="G109" s="210" t="s">
        <v>16</v>
      </c>
      <c r="H109" s="222"/>
      <c r="I109" s="431"/>
      <c r="J109" s="431"/>
      <c r="K109" s="431"/>
      <c r="L109" s="431"/>
      <c r="M109" s="221"/>
      <c r="N109" s="174"/>
      <c r="O109" s="84"/>
    </row>
    <row r="110" spans="2:22" ht="3.75" customHeight="1" thickBot="1" x14ac:dyDescent="0.3">
      <c r="B110" s="440"/>
      <c r="C110" s="201"/>
      <c r="D110" s="203"/>
      <c r="E110" s="198"/>
      <c r="F110" s="204"/>
      <c r="G110" s="216"/>
      <c r="H110" s="223"/>
      <c r="I110" s="431"/>
      <c r="J110" s="431"/>
      <c r="K110" s="431"/>
      <c r="L110" s="431"/>
      <c r="M110" s="221"/>
      <c r="N110" s="175"/>
      <c r="O110" s="84"/>
    </row>
    <row r="111" spans="2:22" ht="18.75" customHeight="1" thickBot="1" x14ac:dyDescent="0.35">
      <c r="B111" s="440"/>
      <c r="C111" s="205"/>
      <c r="D111" s="188" t="s">
        <v>392</v>
      </c>
      <c r="E111" s="198"/>
      <c r="F111" s="225" t="e">
        <f>(F107*$F$46/$F$54)</f>
        <v>#N/A</v>
      </c>
      <c r="G111" s="213" t="s">
        <v>19</v>
      </c>
      <c r="H111" s="223"/>
      <c r="I111" s="431"/>
      <c r="J111" s="431"/>
      <c r="K111" s="431"/>
      <c r="L111" s="431"/>
      <c r="M111" s="221"/>
      <c r="N111" s="175"/>
      <c r="O111" s="84"/>
      <c r="S111" s="206" t="s">
        <v>395</v>
      </c>
      <c r="T111" s="207"/>
      <c r="U111" s="208" t="e">
        <f>F111/$F$42</f>
        <v>#N/A</v>
      </c>
    </row>
    <row r="112" spans="2:22" ht="3.75" customHeight="1" thickBot="1" x14ac:dyDescent="0.3">
      <c r="B112" s="59"/>
      <c r="C112" s="60"/>
      <c r="D112" s="61"/>
      <c r="E112" s="60"/>
      <c r="F112" s="62"/>
      <c r="G112" s="60"/>
      <c r="H112" s="184"/>
      <c r="I112" s="184"/>
      <c r="J112" s="184"/>
      <c r="K112" s="184"/>
      <c r="L112" s="185"/>
      <c r="M112" s="186"/>
      <c r="N112" s="171"/>
      <c r="O112" s="164"/>
    </row>
    <row r="113" spans="1:21" ht="18.75" customHeight="1" thickTop="1" thickBot="1" x14ac:dyDescent="0.3">
      <c r="B113" s="2"/>
      <c r="C113" s="11"/>
      <c r="D113" s="47"/>
      <c r="E113" s="11"/>
      <c r="F113" s="11"/>
      <c r="G113" s="11"/>
      <c r="H113" s="84"/>
      <c r="I113" s="84"/>
      <c r="J113" s="84"/>
      <c r="K113" s="84"/>
      <c r="L113" s="175"/>
      <c r="M113" s="175"/>
      <c r="N113" s="175"/>
      <c r="O113" s="84"/>
      <c r="T113" s="126" t="s">
        <v>380</v>
      </c>
      <c r="U113" s="126" t="s">
        <v>383</v>
      </c>
    </row>
    <row r="114" spans="1:21" ht="36" customHeight="1" thickTop="1" x14ac:dyDescent="0.25">
      <c r="B114" s="477" t="s">
        <v>441</v>
      </c>
      <c r="C114" s="478"/>
      <c r="D114" s="478"/>
      <c r="E114" s="478"/>
      <c r="F114" s="478"/>
      <c r="G114" s="478"/>
      <c r="H114" s="478"/>
      <c r="I114" s="478"/>
      <c r="J114" s="478"/>
      <c r="K114" s="478"/>
      <c r="L114" s="478"/>
      <c r="M114" s="479"/>
      <c r="N114" s="170"/>
      <c r="O114" s="167"/>
      <c r="S114" s="65" t="s">
        <v>364</v>
      </c>
      <c r="T114" s="64">
        <f>IF($F$36&lt;=300,3600,IF($F$36&lt;=800,4800,IF($F$36&lt;=2000,6000,)))</f>
        <v>3600</v>
      </c>
      <c r="U114" s="128">
        <f>+IF($F$11&lt;24,T114,T114+$T$30)</f>
        <v>3600</v>
      </c>
    </row>
    <row r="115" spans="1:21" ht="18.75" customHeight="1" thickBot="1" x14ac:dyDescent="0.35">
      <c r="A115" s="71"/>
      <c r="B115" s="443" t="str">
        <f>IF($F$36&gt;2000,"NOT RECOMMENDED FOR THE GIVEN PRESSURE"," ")</f>
        <v xml:space="preserve"> </v>
      </c>
      <c r="C115" s="444"/>
      <c r="D115" s="444"/>
      <c r="E115" s="444"/>
      <c r="F115" s="444"/>
      <c r="G115" s="444"/>
      <c r="H115" s="444" t="str">
        <f>IF($F$7=$Q$38,"THICKNESS APPLIES TO GYLON EPIX ONLY"," ")</f>
        <v xml:space="preserve"> </v>
      </c>
      <c r="I115" s="444"/>
      <c r="J115" s="444"/>
      <c r="K115" s="444"/>
      <c r="L115" s="444"/>
      <c r="M115" s="449"/>
      <c r="N115" s="171"/>
      <c r="O115" s="164"/>
      <c r="S115" s="81"/>
      <c r="U115" s="128"/>
    </row>
    <row r="116" spans="1:21" ht="18.600000000000001" customHeight="1" thickBot="1" x14ac:dyDescent="0.35">
      <c r="B116" s="1"/>
      <c r="C116" s="2"/>
      <c r="D116" s="17" t="s">
        <v>319</v>
      </c>
      <c r="E116" s="2"/>
      <c r="F116" s="103" t="s">
        <v>379</v>
      </c>
      <c r="G116" s="14" t="s">
        <v>321</v>
      </c>
      <c r="H116" s="38"/>
      <c r="I116" s="445" t="s">
        <v>396</v>
      </c>
      <c r="J116" s="445"/>
      <c r="K116" s="445"/>
      <c r="L116" s="445"/>
      <c r="M116" s="217"/>
      <c r="N116" s="173"/>
      <c r="O116" s="38"/>
      <c r="S116" s="81"/>
      <c r="U116" s="128"/>
    </row>
    <row r="117" spans="1:21" ht="19.2" customHeight="1" thickBot="1" x14ac:dyDescent="0.35">
      <c r="B117" s="50"/>
      <c r="C117" s="227"/>
      <c r="D117" s="14"/>
      <c r="E117" s="2"/>
      <c r="F117" s="57"/>
      <c r="G117" s="14"/>
      <c r="H117" s="227"/>
      <c r="I117" s="227"/>
      <c r="J117" s="227"/>
      <c r="K117" s="46"/>
      <c r="L117" s="181"/>
      <c r="M117" s="180"/>
      <c r="N117" s="173"/>
      <c r="O117" s="46"/>
      <c r="S117" s="81"/>
      <c r="U117" s="128"/>
    </row>
    <row r="118" spans="1:21" ht="18.75" customHeight="1" thickBot="1" x14ac:dyDescent="0.3">
      <c r="B118" s="440" t="s">
        <v>389</v>
      </c>
      <c r="C118" s="187"/>
      <c r="D118" s="188" t="s">
        <v>390</v>
      </c>
      <c r="E118" s="189"/>
      <c r="F118" s="224">
        <f>U114</f>
        <v>3600</v>
      </c>
      <c r="G118" s="210" t="s">
        <v>19</v>
      </c>
      <c r="H118" s="220"/>
      <c r="I118" s="431" t="e">
        <f>IF(U122&lt;=0.75,$S$58,IF(U122&lt;=0.9,$S$59,IF(U122&lt;1,$S$60,IF(U122&gt;=1,$S$61))))</f>
        <v>#N/A</v>
      </c>
      <c r="J118" s="431"/>
      <c r="K118" s="431"/>
      <c r="L118" s="431"/>
      <c r="M118" s="221"/>
      <c r="N118" s="173"/>
      <c r="O118" s="46"/>
    </row>
    <row r="119" spans="1:21" ht="3.75" customHeight="1" thickBot="1" x14ac:dyDescent="0.35">
      <c r="B119" s="440"/>
      <c r="C119" s="190"/>
      <c r="D119" s="191"/>
      <c r="E119" s="192"/>
      <c r="F119" s="193"/>
      <c r="G119" s="191"/>
      <c r="H119" s="190"/>
      <c r="I119" s="431"/>
      <c r="J119" s="431"/>
      <c r="K119" s="431"/>
      <c r="L119" s="431"/>
      <c r="M119" s="221"/>
      <c r="N119" s="173"/>
      <c r="O119" s="39"/>
      <c r="S119" s="7">
        <f>IF($F$26&lt;301,2500,IF($F$26&lt;801,4800,IF($F$26&lt;2001,7400,IF($F$26&gt;2000,$S$11))))</f>
        <v>2500</v>
      </c>
      <c r="T119" s="7">
        <f>IF($F$26&lt;301,3600,IF($F$26&lt;801,5400,IF($F$26&lt;2001,8400,IF($F$26&gt;2000,$S$11))))</f>
        <v>3600</v>
      </c>
    </row>
    <row r="120" spans="1:21" ht="18.75" customHeight="1" thickBot="1" x14ac:dyDescent="0.35">
      <c r="B120" s="440"/>
      <c r="C120" s="190"/>
      <c r="D120" s="194" t="s">
        <v>391</v>
      </c>
      <c r="E120" s="195"/>
      <c r="F120" s="225" t="e">
        <f>(F118*$F$56/$F$54)</f>
        <v>#N/A</v>
      </c>
      <c r="G120" s="211" t="s">
        <v>16</v>
      </c>
      <c r="H120" s="190"/>
      <c r="I120" s="431"/>
      <c r="J120" s="431"/>
      <c r="K120" s="431"/>
      <c r="L120" s="431"/>
      <c r="M120" s="221"/>
      <c r="N120" s="173"/>
      <c r="O120" s="39"/>
    </row>
    <row r="121" spans="1:21" ht="3.75" customHeight="1" thickBot="1" x14ac:dyDescent="0.35">
      <c r="B121" s="440"/>
      <c r="C121" s="196"/>
      <c r="D121" s="197"/>
      <c r="E121" s="192"/>
      <c r="F121" s="193"/>
      <c r="G121" s="212"/>
      <c r="H121" s="196"/>
      <c r="I121" s="431"/>
      <c r="J121" s="431"/>
      <c r="K121" s="431"/>
      <c r="L121" s="431"/>
      <c r="M121" s="221"/>
      <c r="N121" s="173"/>
      <c r="O121" s="94"/>
    </row>
    <row r="122" spans="1:21" ht="18.75" customHeight="1" thickBot="1" x14ac:dyDescent="0.35">
      <c r="B122" s="440"/>
      <c r="C122" s="196"/>
      <c r="D122" s="197" t="s">
        <v>392</v>
      </c>
      <c r="E122" s="192"/>
      <c r="F122" s="225" t="e">
        <f>(F118*$F$46/$F$54)</f>
        <v>#N/A</v>
      </c>
      <c r="G122" s="213" t="s">
        <v>19</v>
      </c>
      <c r="H122" s="196"/>
      <c r="I122" s="431"/>
      <c r="J122" s="431"/>
      <c r="K122" s="431"/>
      <c r="L122" s="431"/>
      <c r="M122" s="221"/>
      <c r="N122" s="173"/>
      <c r="O122" s="94"/>
      <c r="S122" s="206" t="s">
        <v>394</v>
      </c>
      <c r="T122" s="207"/>
      <c r="U122" s="208" t="e">
        <f>F122/$F$42</f>
        <v>#N/A</v>
      </c>
    </row>
    <row r="123" spans="1:21" ht="19.2" customHeight="1" thickBot="1" x14ac:dyDescent="0.3">
      <c r="B123" s="1"/>
      <c r="C123" s="11"/>
      <c r="D123" s="95"/>
      <c r="E123" s="94"/>
      <c r="F123" s="96"/>
      <c r="G123" s="97"/>
      <c r="H123" s="84"/>
      <c r="I123" s="84"/>
      <c r="J123" s="84"/>
      <c r="K123" s="84"/>
      <c r="L123" s="181"/>
      <c r="M123" s="180"/>
      <c r="N123" s="173"/>
      <c r="O123" s="84"/>
    </row>
    <row r="124" spans="1:21" ht="18.75" customHeight="1" thickBot="1" x14ac:dyDescent="0.3">
      <c r="B124" s="440" t="s">
        <v>393</v>
      </c>
      <c r="C124" s="198"/>
      <c r="D124" s="199" t="s">
        <v>390</v>
      </c>
      <c r="E124" s="196"/>
      <c r="F124" s="226">
        <v>20000</v>
      </c>
      <c r="G124" s="214" t="s">
        <v>19</v>
      </c>
      <c r="H124" s="220"/>
      <c r="I124" s="431" t="e">
        <f>IF(U128&lt;=0.75,$S$58,IF(U128&lt;=0.9,$S$59,IF(U128&lt;1,$S$60,IF(U128&gt;=1,$S$61))))</f>
        <v>#N/A</v>
      </c>
      <c r="J124" s="431"/>
      <c r="K124" s="431"/>
      <c r="L124" s="431"/>
      <c r="M124" s="221"/>
      <c r="N124" s="174"/>
      <c r="O124" s="84"/>
    </row>
    <row r="125" spans="1:21" ht="3.75" customHeight="1" thickBot="1" x14ac:dyDescent="0.3">
      <c r="B125" s="440"/>
      <c r="C125" s="198"/>
      <c r="D125" s="188"/>
      <c r="E125" s="201"/>
      <c r="F125" s="202"/>
      <c r="G125" s="215"/>
      <c r="H125" s="220"/>
      <c r="I125" s="431"/>
      <c r="J125" s="431"/>
      <c r="K125" s="431"/>
      <c r="L125" s="431"/>
      <c r="M125" s="221"/>
      <c r="N125" s="174"/>
      <c r="O125" s="84"/>
    </row>
    <row r="126" spans="1:21" ht="18.75" customHeight="1" thickBot="1" x14ac:dyDescent="0.35">
      <c r="B126" s="440"/>
      <c r="C126" s="198"/>
      <c r="D126" s="188" t="s">
        <v>391</v>
      </c>
      <c r="E126" s="198"/>
      <c r="F126" s="225" t="e">
        <f>(F124*$F$56/$F$54)</f>
        <v>#N/A</v>
      </c>
      <c r="G126" s="210" t="s">
        <v>16</v>
      </c>
      <c r="H126" s="222"/>
      <c r="I126" s="431"/>
      <c r="J126" s="431"/>
      <c r="K126" s="431"/>
      <c r="L126" s="431"/>
      <c r="M126" s="221"/>
      <c r="N126" s="174"/>
      <c r="O126" s="84"/>
    </row>
    <row r="127" spans="1:21" ht="3.75" customHeight="1" thickBot="1" x14ac:dyDescent="0.3">
      <c r="B127" s="440"/>
      <c r="C127" s="201"/>
      <c r="D127" s="203"/>
      <c r="E127" s="198"/>
      <c r="F127" s="204"/>
      <c r="G127" s="216"/>
      <c r="H127" s="223"/>
      <c r="I127" s="431"/>
      <c r="J127" s="431"/>
      <c r="K127" s="431"/>
      <c r="L127" s="431"/>
      <c r="M127" s="221"/>
      <c r="N127" s="175"/>
      <c r="O127" s="84"/>
    </row>
    <row r="128" spans="1:21" ht="18.75" customHeight="1" thickBot="1" x14ac:dyDescent="0.35">
      <c r="B128" s="440"/>
      <c r="C128" s="205"/>
      <c r="D128" s="188" t="s">
        <v>392</v>
      </c>
      <c r="E128" s="198"/>
      <c r="F128" s="225" t="e">
        <f>(F124*$F$46/$F$54)</f>
        <v>#N/A</v>
      </c>
      <c r="G128" s="213" t="s">
        <v>19</v>
      </c>
      <c r="H128" s="223"/>
      <c r="I128" s="431"/>
      <c r="J128" s="431"/>
      <c r="K128" s="431"/>
      <c r="L128" s="431"/>
      <c r="M128" s="221"/>
      <c r="N128" s="175"/>
      <c r="O128" s="84"/>
      <c r="S128" s="206" t="s">
        <v>395</v>
      </c>
      <c r="T128" s="209"/>
      <c r="U128" s="208" t="e">
        <f>F128/$F$42</f>
        <v>#N/A</v>
      </c>
    </row>
    <row r="129" spans="2:21" ht="3.75" customHeight="1" thickBot="1" x14ac:dyDescent="0.3">
      <c r="B129" s="59"/>
      <c r="C129" s="60"/>
      <c r="D129" s="61"/>
      <c r="E129" s="60"/>
      <c r="F129" s="62"/>
      <c r="G129" s="60"/>
      <c r="H129" s="184"/>
      <c r="I129" s="184"/>
      <c r="J129" s="184"/>
      <c r="K129" s="184"/>
      <c r="L129" s="185"/>
      <c r="M129" s="186"/>
      <c r="N129" s="171"/>
      <c r="O129" s="164"/>
    </row>
    <row r="130" spans="2:21" ht="18.75" customHeight="1" thickTop="1" thickBot="1" x14ac:dyDescent="0.3">
      <c r="B130" s="160"/>
      <c r="C130" s="161"/>
      <c r="D130" s="162"/>
      <c r="E130" s="161"/>
      <c r="F130" s="163"/>
      <c r="G130" s="161"/>
      <c r="H130" s="164"/>
      <c r="I130" s="164"/>
      <c r="J130" s="164"/>
      <c r="K130" s="164"/>
      <c r="L130" s="171"/>
      <c r="M130" s="171"/>
      <c r="N130" s="171"/>
      <c r="O130" s="164"/>
      <c r="T130" s="286" t="s">
        <v>381</v>
      </c>
      <c r="U130" s="142"/>
    </row>
    <row r="131" spans="2:21" ht="36" customHeight="1" thickTop="1" x14ac:dyDescent="0.25">
      <c r="B131" s="477" t="s">
        <v>404</v>
      </c>
      <c r="C131" s="478"/>
      <c r="D131" s="478"/>
      <c r="E131" s="478"/>
      <c r="F131" s="478"/>
      <c r="G131" s="478"/>
      <c r="H131" s="478"/>
      <c r="I131" s="478"/>
      <c r="J131" s="478"/>
      <c r="K131" s="478"/>
      <c r="L131" s="478"/>
      <c r="M131" s="479"/>
      <c r="N131" s="177"/>
      <c r="O131" s="168"/>
      <c r="S131" s="165" t="s">
        <v>382</v>
      </c>
      <c r="T131" s="64">
        <f>IF($F$36&lt;=300,4000,IF($F$36&lt;=800,6000,IF($F$36&lt;=2000,10000,IF($F$36&gt;2000,15000))))</f>
        <v>4000</v>
      </c>
      <c r="U131" s="143"/>
    </row>
    <row r="132" spans="2:21" ht="18.75" customHeight="1" thickBot="1" x14ac:dyDescent="0.3">
      <c r="B132" s="50"/>
      <c r="C132" s="43"/>
      <c r="D132" s="43"/>
      <c r="E132" s="43"/>
      <c r="F132" s="43"/>
      <c r="G132" s="43"/>
      <c r="H132" s="444" t="str">
        <f>IF($F$7=$Q$38,"THICKNESS APPLIES TO GYLON EPIX ONLY"," ")</f>
        <v xml:space="preserve"> </v>
      </c>
      <c r="I132" s="444"/>
      <c r="J132" s="444"/>
      <c r="K132" s="444"/>
      <c r="L132" s="444"/>
      <c r="M132" s="449"/>
      <c r="N132" s="171"/>
      <c r="O132" s="164"/>
      <c r="S132" s="81"/>
      <c r="U132" s="128"/>
    </row>
    <row r="133" spans="2:21" ht="18.75" customHeight="1" thickBot="1" x14ac:dyDescent="0.35">
      <c r="B133" s="1"/>
      <c r="C133" s="2"/>
      <c r="D133" s="17" t="s">
        <v>319</v>
      </c>
      <c r="E133" s="2"/>
      <c r="F133" s="103" t="s">
        <v>323</v>
      </c>
      <c r="G133" s="14" t="s">
        <v>321</v>
      </c>
      <c r="H133" s="38"/>
      <c r="I133" s="445" t="s">
        <v>396</v>
      </c>
      <c r="J133" s="445"/>
      <c r="K133" s="445"/>
      <c r="L133" s="445"/>
      <c r="M133" s="217"/>
      <c r="N133" s="172"/>
      <c r="O133" s="38"/>
      <c r="S133" s="81"/>
      <c r="U133" s="128"/>
    </row>
    <row r="134" spans="2:21" ht="19.2" customHeight="1" thickBot="1" x14ac:dyDescent="0.35">
      <c r="B134" s="50"/>
      <c r="C134" s="227"/>
      <c r="D134" s="14"/>
      <c r="E134" s="2"/>
      <c r="F134" s="57"/>
      <c r="G134" s="14"/>
      <c r="H134" s="227"/>
      <c r="I134" s="227"/>
      <c r="J134" s="227"/>
      <c r="K134" s="46"/>
      <c r="L134" s="172"/>
      <c r="M134" s="217"/>
      <c r="N134" s="172"/>
      <c r="O134" s="46"/>
      <c r="S134" s="81"/>
      <c r="U134" s="128"/>
    </row>
    <row r="135" spans="2:21" ht="18.75" customHeight="1" thickBot="1" x14ac:dyDescent="0.3">
      <c r="B135" s="440" t="s">
        <v>389</v>
      </c>
      <c r="C135" s="187"/>
      <c r="D135" s="188" t="s">
        <v>390</v>
      </c>
      <c r="E135" s="189"/>
      <c r="F135" s="224">
        <f>T131</f>
        <v>4000</v>
      </c>
      <c r="G135" s="210" t="s">
        <v>19</v>
      </c>
      <c r="H135" s="220"/>
      <c r="I135" s="431" t="e">
        <f>IF(U139&lt;=0.75,$S$58,IF(U139&lt;=0.9,$S$59,IF(U139&lt;1,$S$60,IF(U139&gt;=1,$S$61))))</f>
        <v>#N/A</v>
      </c>
      <c r="J135" s="431"/>
      <c r="K135" s="431"/>
      <c r="L135" s="431"/>
      <c r="M135" s="221"/>
      <c r="N135" s="173"/>
      <c r="O135" s="46"/>
    </row>
    <row r="136" spans="2:21" ht="3.6" customHeight="1" thickBot="1" x14ac:dyDescent="0.35">
      <c r="B136" s="440"/>
      <c r="C136" s="190"/>
      <c r="D136" s="191"/>
      <c r="E136" s="192"/>
      <c r="F136" s="193"/>
      <c r="G136" s="191"/>
      <c r="H136" s="190"/>
      <c r="I136" s="431"/>
      <c r="J136" s="431"/>
      <c r="K136" s="431"/>
      <c r="L136" s="431"/>
      <c r="M136" s="221"/>
      <c r="N136" s="173"/>
      <c r="O136" s="39"/>
      <c r="S136" s="7">
        <f>IF($F$26&lt;301,2500,IF($F$26&lt;801,4800,IF($F$26&lt;2001,7400,IF($F$26&gt;2000,$S$11))))</f>
        <v>2500</v>
      </c>
      <c r="T136" s="7">
        <f>IF($F$26&lt;301,3600,IF($F$26&lt;801,5400,IF($F$26&lt;2001,8400,IF($F$26&gt;2000,$S$11))))</f>
        <v>3600</v>
      </c>
    </row>
    <row r="137" spans="2:21" ht="18.75" customHeight="1" thickBot="1" x14ac:dyDescent="0.35">
      <c r="B137" s="440"/>
      <c r="C137" s="190"/>
      <c r="D137" s="194" t="s">
        <v>391</v>
      </c>
      <c r="E137" s="195"/>
      <c r="F137" s="225" t="e">
        <f>(F135*$F$56/$F$54)</f>
        <v>#N/A</v>
      </c>
      <c r="G137" s="211" t="s">
        <v>16</v>
      </c>
      <c r="H137" s="190"/>
      <c r="I137" s="431"/>
      <c r="J137" s="431"/>
      <c r="K137" s="431"/>
      <c r="L137" s="431"/>
      <c r="M137" s="221"/>
      <c r="N137" s="173"/>
      <c r="O137" s="39"/>
    </row>
    <row r="138" spans="2:21" ht="3.6" customHeight="1" thickBot="1" x14ac:dyDescent="0.35">
      <c r="B138" s="440"/>
      <c r="C138" s="196"/>
      <c r="D138" s="197"/>
      <c r="E138" s="192"/>
      <c r="F138" s="193"/>
      <c r="G138" s="212"/>
      <c r="H138" s="196"/>
      <c r="I138" s="431"/>
      <c r="J138" s="431"/>
      <c r="K138" s="431"/>
      <c r="L138" s="431"/>
      <c r="M138" s="221"/>
      <c r="N138" s="173"/>
      <c r="O138" s="94"/>
    </row>
    <row r="139" spans="2:21" ht="18.75" customHeight="1" thickBot="1" x14ac:dyDescent="0.35">
      <c r="B139" s="440"/>
      <c r="C139" s="196"/>
      <c r="D139" s="197" t="s">
        <v>392</v>
      </c>
      <c r="E139" s="192"/>
      <c r="F139" s="225" t="e">
        <f>(F135*$F$46/$F$54)</f>
        <v>#N/A</v>
      </c>
      <c r="G139" s="213" t="s">
        <v>19</v>
      </c>
      <c r="H139" s="196"/>
      <c r="I139" s="431"/>
      <c r="J139" s="431"/>
      <c r="K139" s="431"/>
      <c r="L139" s="431"/>
      <c r="M139" s="221"/>
      <c r="N139" s="173"/>
      <c r="O139" s="94"/>
      <c r="S139" s="206" t="s">
        <v>394</v>
      </c>
      <c r="T139" s="207"/>
      <c r="U139" s="208" t="e">
        <f>F139/$F$42</f>
        <v>#N/A</v>
      </c>
    </row>
    <row r="140" spans="2:21" ht="18.75" customHeight="1" thickBot="1" x14ac:dyDescent="0.3">
      <c r="B140" s="1"/>
      <c r="C140" s="11"/>
      <c r="D140" s="95"/>
      <c r="E140" s="94"/>
      <c r="F140" s="96"/>
      <c r="G140" s="97"/>
      <c r="H140" s="84"/>
      <c r="I140" s="84"/>
      <c r="J140" s="84"/>
      <c r="K140" s="84"/>
      <c r="L140" s="181"/>
      <c r="M140" s="180"/>
      <c r="N140" s="173"/>
      <c r="O140" s="84"/>
    </row>
    <row r="141" spans="2:21" ht="18.75" customHeight="1" thickBot="1" x14ac:dyDescent="0.3">
      <c r="B141" s="440" t="s">
        <v>393</v>
      </c>
      <c r="C141" s="198"/>
      <c r="D141" s="199" t="s">
        <v>390</v>
      </c>
      <c r="E141" s="196"/>
      <c r="F141" s="226">
        <v>40000</v>
      </c>
      <c r="G141" s="214" t="s">
        <v>19</v>
      </c>
      <c r="H141" s="220"/>
      <c r="I141" s="431" t="e">
        <f>IF(U145&lt;=0.75,$S$58,IF(U145&lt;=0.9,$S$59,IF(U145&lt;1,$S$60,IF(U145&gt;=1,$S$61))))</f>
        <v>#N/A</v>
      </c>
      <c r="J141" s="431"/>
      <c r="K141" s="431"/>
      <c r="L141" s="431"/>
      <c r="M141" s="221"/>
      <c r="N141" s="174"/>
      <c r="O141" s="84"/>
    </row>
    <row r="142" spans="2:21" ht="3.6" customHeight="1" thickBot="1" x14ac:dyDescent="0.3">
      <c r="B142" s="440"/>
      <c r="C142" s="198"/>
      <c r="D142" s="188"/>
      <c r="E142" s="201"/>
      <c r="F142" s="202"/>
      <c r="G142" s="215"/>
      <c r="H142" s="220"/>
      <c r="I142" s="431"/>
      <c r="J142" s="431"/>
      <c r="K142" s="431"/>
      <c r="L142" s="431"/>
      <c r="M142" s="221"/>
      <c r="N142" s="174"/>
      <c r="O142" s="84"/>
    </row>
    <row r="143" spans="2:21" ht="18.75" customHeight="1" thickBot="1" x14ac:dyDescent="0.35">
      <c r="B143" s="440"/>
      <c r="C143" s="198"/>
      <c r="D143" s="188" t="s">
        <v>391</v>
      </c>
      <c r="E143" s="198"/>
      <c r="F143" s="225" t="e">
        <f>(F141*$F$56/$F$54)</f>
        <v>#N/A</v>
      </c>
      <c r="G143" s="210" t="s">
        <v>16</v>
      </c>
      <c r="H143" s="222"/>
      <c r="I143" s="431"/>
      <c r="J143" s="431"/>
      <c r="K143" s="431"/>
      <c r="L143" s="431"/>
      <c r="M143" s="221"/>
      <c r="N143" s="174"/>
      <c r="O143" s="84"/>
    </row>
    <row r="144" spans="2:21" ht="3.6" customHeight="1" thickBot="1" x14ac:dyDescent="0.3">
      <c r="B144" s="440"/>
      <c r="C144" s="201"/>
      <c r="D144" s="203"/>
      <c r="E144" s="198"/>
      <c r="F144" s="204"/>
      <c r="G144" s="216"/>
      <c r="H144" s="223"/>
      <c r="I144" s="431"/>
      <c r="J144" s="431"/>
      <c r="K144" s="431"/>
      <c r="L144" s="431"/>
      <c r="M144" s="221"/>
      <c r="N144" s="175"/>
      <c r="O144" s="84"/>
    </row>
    <row r="145" spans="2:25" ht="18.75" customHeight="1" thickBot="1" x14ac:dyDescent="0.35">
      <c r="B145" s="440"/>
      <c r="C145" s="205"/>
      <c r="D145" s="188" t="s">
        <v>392</v>
      </c>
      <c r="E145" s="198"/>
      <c r="F145" s="225" t="e">
        <f>(F141*$F$46/$F$54)</f>
        <v>#N/A</v>
      </c>
      <c r="G145" s="213" t="s">
        <v>19</v>
      </c>
      <c r="H145" s="223"/>
      <c r="I145" s="431"/>
      <c r="J145" s="431"/>
      <c r="K145" s="431"/>
      <c r="L145" s="431"/>
      <c r="M145" s="221"/>
      <c r="N145" s="175"/>
      <c r="O145" s="84"/>
      <c r="S145" s="206" t="s">
        <v>395</v>
      </c>
      <c r="T145" s="207"/>
      <c r="U145" s="208" t="e">
        <f>F145/$F$42</f>
        <v>#N/A</v>
      </c>
    </row>
    <row r="146" spans="2:25" ht="3.6" customHeight="1" thickBot="1" x14ac:dyDescent="0.3">
      <c r="B146" s="59"/>
      <c r="C146" s="60"/>
      <c r="D146" s="61"/>
      <c r="E146" s="60"/>
      <c r="F146" s="62"/>
      <c r="G146" s="60"/>
      <c r="H146" s="184"/>
      <c r="I146" s="184"/>
      <c r="J146" s="184"/>
      <c r="K146" s="184"/>
      <c r="L146" s="185"/>
      <c r="M146" s="186"/>
      <c r="N146" s="171"/>
      <c r="O146" s="164"/>
    </row>
    <row r="147" spans="2:25" ht="18.75" customHeight="1" thickTop="1" thickBot="1" x14ac:dyDescent="0.3">
      <c r="B147" s="38"/>
      <c r="C147" s="43"/>
      <c r="D147" s="20"/>
      <c r="E147" s="43"/>
      <c r="F147" s="80"/>
      <c r="G147" s="43"/>
      <c r="H147" s="164"/>
      <c r="I147" s="164"/>
      <c r="J147" s="164"/>
      <c r="K147" s="164"/>
      <c r="L147" s="171"/>
      <c r="M147" s="171"/>
      <c r="N147" s="171"/>
      <c r="O147" s="164"/>
    </row>
    <row r="148" spans="2:25" ht="36" customHeight="1" thickTop="1" x14ac:dyDescent="0.25">
      <c r="B148" s="477" t="s">
        <v>405</v>
      </c>
      <c r="C148" s="478"/>
      <c r="D148" s="478"/>
      <c r="E148" s="478"/>
      <c r="F148" s="478"/>
      <c r="G148" s="478"/>
      <c r="H148" s="478"/>
      <c r="I148" s="478"/>
      <c r="J148" s="478"/>
      <c r="K148" s="478"/>
      <c r="L148" s="478"/>
      <c r="M148" s="479"/>
      <c r="N148" s="177"/>
      <c r="O148" s="168"/>
      <c r="S148" s="81"/>
      <c r="T148" s="2"/>
      <c r="U148" s="143"/>
    </row>
    <row r="149" spans="2:25" ht="18.75" customHeight="1" x14ac:dyDescent="0.25">
      <c r="B149" s="470" t="s">
        <v>419</v>
      </c>
      <c r="C149" s="471"/>
      <c r="D149" s="471"/>
      <c r="E149" s="471"/>
      <c r="F149" s="471"/>
      <c r="G149" s="471"/>
      <c r="H149" s="471"/>
      <c r="I149" s="471"/>
      <c r="J149" s="471"/>
      <c r="K149" s="471"/>
      <c r="L149" s="471"/>
      <c r="M149" s="472"/>
      <c r="N149" s="171"/>
      <c r="O149" s="164"/>
      <c r="S149" s="81"/>
      <c r="T149" s="2"/>
      <c r="U149" s="143"/>
    </row>
    <row r="150" spans="2:25" ht="18.75" customHeight="1" x14ac:dyDescent="0.25">
      <c r="B150" s="470"/>
      <c r="C150" s="471"/>
      <c r="D150" s="471"/>
      <c r="E150" s="471"/>
      <c r="F150" s="471"/>
      <c r="G150" s="471"/>
      <c r="H150" s="471"/>
      <c r="I150" s="471"/>
      <c r="J150" s="471"/>
      <c r="K150" s="471"/>
      <c r="L150" s="471"/>
      <c r="M150" s="472"/>
      <c r="N150" s="172"/>
      <c r="O150" s="38"/>
      <c r="S150" s="81"/>
      <c r="T150" s="2"/>
      <c r="U150" s="143"/>
    </row>
    <row r="151" spans="2:25" ht="18.75" customHeight="1" x14ac:dyDescent="0.25">
      <c r="B151" s="470"/>
      <c r="C151" s="471"/>
      <c r="D151" s="471"/>
      <c r="E151" s="471"/>
      <c r="F151" s="471"/>
      <c r="G151" s="471"/>
      <c r="H151" s="471"/>
      <c r="I151" s="471"/>
      <c r="J151" s="471"/>
      <c r="K151" s="471"/>
      <c r="L151" s="471"/>
      <c r="M151" s="472"/>
      <c r="N151" s="172"/>
      <c r="O151" s="46"/>
      <c r="S151" s="81"/>
      <c r="T151" s="2"/>
      <c r="U151" s="143"/>
    </row>
    <row r="152" spans="2:25" ht="18.75" customHeight="1" thickBot="1" x14ac:dyDescent="0.3">
      <c r="B152" s="59"/>
      <c r="C152" s="60"/>
      <c r="D152" s="61"/>
      <c r="E152" s="60"/>
      <c r="F152" s="62"/>
      <c r="G152" s="60"/>
      <c r="H152" s="184"/>
      <c r="I152" s="184"/>
      <c r="J152" s="184"/>
      <c r="K152" s="184"/>
      <c r="L152" s="185"/>
      <c r="M152" s="186"/>
      <c r="N152" s="171"/>
      <c r="O152" s="164"/>
    </row>
    <row r="153" spans="2:25" ht="18.75" customHeight="1" thickTop="1" thickBot="1" x14ac:dyDescent="0.3">
      <c r="D153" s="49"/>
      <c r="E153" s="236"/>
      <c r="H153" s="84"/>
      <c r="I153" s="236"/>
      <c r="J153" s="236"/>
      <c r="K153" s="236"/>
      <c r="L153" s="178"/>
      <c r="M153" s="178"/>
      <c r="N153" s="178"/>
      <c r="O153" s="236"/>
      <c r="T153" s="126" t="s">
        <v>383</v>
      </c>
      <c r="U153" s="126" t="s">
        <v>385</v>
      </c>
    </row>
    <row r="154" spans="2:25" ht="36" customHeight="1" thickTop="1" x14ac:dyDescent="0.25">
      <c r="B154" s="441" t="s">
        <v>406</v>
      </c>
      <c r="C154" s="442"/>
      <c r="D154" s="442"/>
      <c r="E154" s="442"/>
      <c r="F154" s="442"/>
      <c r="G154" s="442"/>
      <c r="H154" s="446" t="s">
        <v>401</v>
      </c>
      <c r="I154" s="446"/>
      <c r="J154" s="446"/>
      <c r="K154" s="446"/>
      <c r="L154" s="446"/>
      <c r="M154" s="447"/>
      <c r="N154" s="170"/>
      <c r="O154" s="167"/>
      <c r="S154" s="165" t="s">
        <v>384</v>
      </c>
      <c r="T154" s="131">
        <f>IF($F$11&lt;24,600,IF($F$11&gt;=24,600+$T$30))</f>
        <v>600</v>
      </c>
      <c r="U154" s="131">
        <f>IF(T154&lt;900,T154,900)</f>
        <v>600</v>
      </c>
    </row>
    <row r="155" spans="2:25" ht="18.75" customHeight="1" thickBot="1" x14ac:dyDescent="0.35">
      <c r="B155" s="443" t="str">
        <f>IF($F$36&lt;=150," ",IF($F$36&lt;=250,"PRESSURE IS ABOVE 150 PSIG - CONTACT APPLICATIONS ENGINEERING",IF($F$36&gt;250,"NOT RECOMMENDED FOR THE GIVEN PRESSURE")))</f>
        <v xml:space="preserve"> </v>
      </c>
      <c r="C155" s="444"/>
      <c r="D155" s="444"/>
      <c r="E155" s="444"/>
      <c r="F155" s="444"/>
      <c r="G155" s="444"/>
      <c r="H155" s="444" t="str">
        <f>IF($F$7=$Q$38,"THICKNESS APPLIES TO GYLON EPIX ONLY"," ")</f>
        <v xml:space="preserve"> </v>
      </c>
      <c r="I155" s="444"/>
      <c r="J155" s="444"/>
      <c r="K155" s="444"/>
      <c r="L155" s="444"/>
      <c r="M155" s="449"/>
      <c r="N155" s="174"/>
      <c r="O155" s="169"/>
      <c r="P155" s="71"/>
      <c r="Q155" s="71"/>
      <c r="R155" s="71"/>
      <c r="S155" s="81"/>
      <c r="T155" s="2"/>
      <c r="U155" s="143"/>
      <c r="V155" s="71"/>
      <c r="W155" s="71"/>
      <c r="X155" s="71"/>
      <c r="Y155" s="71"/>
    </row>
    <row r="156" spans="2:25" ht="18.75" customHeight="1" thickBot="1" x14ac:dyDescent="0.3">
      <c r="B156" s="58"/>
      <c r="C156" s="42"/>
      <c r="D156" s="15" t="s">
        <v>324</v>
      </c>
      <c r="E156" s="42"/>
      <c r="F156" s="231">
        <f>($F$36)</f>
        <v>0</v>
      </c>
      <c r="G156" s="13" t="s">
        <v>290</v>
      </c>
      <c r="H156" s="84"/>
      <c r="I156" s="84"/>
      <c r="J156" s="84"/>
      <c r="K156" s="84"/>
      <c r="L156" s="182"/>
      <c r="M156" s="183"/>
      <c r="N156" s="174"/>
      <c r="O156" s="236"/>
      <c r="S156" s="81"/>
      <c r="T156" s="2"/>
      <c r="U156" s="143"/>
      <c r="W156" s="7" t="s">
        <v>325</v>
      </c>
    </row>
    <row r="157" spans="2:25" ht="3" customHeight="1" thickBot="1" x14ac:dyDescent="0.3">
      <c r="B157" s="50"/>
      <c r="C157" s="43"/>
      <c r="D157" s="43"/>
      <c r="E157" s="43"/>
      <c r="F157" s="43"/>
      <c r="G157" s="43"/>
      <c r="H157" s="164"/>
      <c r="I157" s="164"/>
      <c r="J157" s="164"/>
      <c r="K157" s="164"/>
      <c r="L157" s="171"/>
      <c r="M157" s="179"/>
      <c r="N157" s="171"/>
      <c r="O157" s="164"/>
      <c r="S157" s="81"/>
      <c r="T157" s="2"/>
      <c r="U157" s="143"/>
    </row>
    <row r="158" spans="2:25" ht="18.75" customHeight="1" thickBot="1" x14ac:dyDescent="0.35">
      <c r="B158" s="1"/>
      <c r="C158" s="2"/>
      <c r="D158" s="17" t="s">
        <v>319</v>
      </c>
      <c r="E158" s="2"/>
      <c r="F158" s="228">
        <f>($F$7)</f>
        <v>0</v>
      </c>
      <c r="G158" s="14" t="s">
        <v>321</v>
      </c>
      <c r="H158" s="38"/>
      <c r="I158" s="445" t="s">
        <v>396</v>
      </c>
      <c r="J158" s="445"/>
      <c r="K158" s="445"/>
      <c r="L158" s="445"/>
      <c r="M158" s="217"/>
      <c r="N158" s="173"/>
      <c r="O158" s="38"/>
    </row>
    <row r="159" spans="2:25" ht="19.2" customHeight="1" thickBot="1" x14ac:dyDescent="0.35">
      <c r="B159" s="50"/>
      <c r="C159" s="227"/>
      <c r="D159" s="14"/>
      <c r="E159" s="2"/>
      <c r="F159" s="57"/>
      <c r="G159" s="14"/>
      <c r="H159" s="227"/>
      <c r="I159" s="227"/>
      <c r="J159" s="227"/>
      <c r="K159" s="46"/>
      <c r="L159" s="181"/>
      <c r="M159" s="180"/>
      <c r="N159" s="173"/>
      <c r="O159" s="46"/>
    </row>
    <row r="160" spans="2:25" ht="18.75" customHeight="1" thickBot="1" x14ac:dyDescent="0.3">
      <c r="B160" s="440" t="s">
        <v>389</v>
      </c>
      <c r="C160" s="187"/>
      <c r="D160" s="188" t="s">
        <v>390</v>
      </c>
      <c r="E160" s="189"/>
      <c r="F160" s="224">
        <f>U154</f>
        <v>600</v>
      </c>
      <c r="G160" s="210" t="s">
        <v>19</v>
      </c>
      <c r="H160" s="220"/>
      <c r="I160" s="431" t="e">
        <f>IF(U164&lt;=0.75,$S$58,IF(U164&lt;=0.9,$S$59,IF(U164&lt;1,$S$60,IF(U164&gt;=1,$S$61))))</f>
        <v>#N/A</v>
      </c>
      <c r="J160" s="431"/>
      <c r="K160" s="431"/>
      <c r="L160" s="431"/>
      <c r="M160" s="221"/>
      <c r="N160" s="173"/>
      <c r="O160" s="46"/>
    </row>
    <row r="161" spans="2:21" ht="3.6" customHeight="1" thickBot="1" x14ac:dyDescent="0.35">
      <c r="B161" s="440"/>
      <c r="C161" s="190"/>
      <c r="D161" s="191"/>
      <c r="E161" s="192"/>
      <c r="F161" s="193"/>
      <c r="G161" s="191"/>
      <c r="H161" s="190"/>
      <c r="I161" s="431"/>
      <c r="J161" s="431"/>
      <c r="K161" s="431"/>
      <c r="L161" s="431"/>
      <c r="M161" s="221"/>
      <c r="N161" s="173"/>
      <c r="O161" s="39"/>
      <c r="S161" s="7">
        <f>IF($F$26&lt;301,2500,IF($F$26&lt;801,4800,IF($F$26&lt;2001,7400,IF($F$26&gt;2000,$S$11))))</f>
        <v>2500</v>
      </c>
      <c r="T161" s="7">
        <f>IF($F$26&lt;301,3600,IF($F$26&lt;801,5400,IF($F$26&lt;2001,8400,IF($F$26&gt;2000,$S$11))))</f>
        <v>3600</v>
      </c>
    </row>
    <row r="162" spans="2:21" ht="18.75" customHeight="1" thickBot="1" x14ac:dyDescent="0.35">
      <c r="B162" s="440"/>
      <c r="C162" s="190"/>
      <c r="D162" s="194" t="s">
        <v>391</v>
      </c>
      <c r="E162" s="195"/>
      <c r="F162" s="225" t="e">
        <f>(F160*$F$56/$F$54)</f>
        <v>#N/A</v>
      </c>
      <c r="G162" s="211" t="s">
        <v>16</v>
      </c>
      <c r="H162" s="190"/>
      <c r="I162" s="431"/>
      <c r="J162" s="431"/>
      <c r="K162" s="431"/>
      <c r="L162" s="431"/>
      <c r="M162" s="221"/>
      <c r="N162" s="173"/>
      <c r="O162" s="39"/>
    </row>
    <row r="163" spans="2:21" ht="3.6" customHeight="1" thickBot="1" x14ac:dyDescent="0.35">
      <c r="B163" s="440"/>
      <c r="C163" s="196"/>
      <c r="D163" s="197"/>
      <c r="E163" s="192"/>
      <c r="F163" s="193"/>
      <c r="G163" s="212"/>
      <c r="H163" s="196"/>
      <c r="I163" s="431"/>
      <c r="J163" s="431"/>
      <c r="K163" s="431"/>
      <c r="L163" s="431"/>
      <c r="M163" s="221"/>
      <c r="N163" s="173"/>
      <c r="O163" s="94"/>
    </row>
    <row r="164" spans="2:21" ht="18.75" customHeight="1" thickBot="1" x14ac:dyDescent="0.35">
      <c r="B164" s="440"/>
      <c r="C164" s="196"/>
      <c r="D164" s="197" t="s">
        <v>392</v>
      </c>
      <c r="E164" s="192"/>
      <c r="F164" s="225" t="e">
        <f>(F160*$F$46/$F$54)</f>
        <v>#N/A</v>
      </c>
      <c r="G164" s="213" t="s">
        <v>19</v>
      </c>
      <c r="H164" s="196"/>
      <c r="I164" s="431"/>
      <c r="J164" s="431"/>
      <c r="K164" s="431"/>
      <c r="L164" s="431"/>
      <c r="M164" s="221"/>
      <c r="N164" s="173"/>
      <c r="O164" s="94"/>
      <c r="S164" s="206" t="s">
        <v>394</v>
      </c>
      <c r="T164" s="207"/>
      <c r="U164" s="208" t="e">
        <f>F164/$F$42</f>
        <v>#N/A</v>
      </c>
    </row>
    <row r="165" spans="2:21" ht="18.75" customHeight="1" thickBot="1" x14ac:dyDescent="0.3">
      <c r="B165" s="1"/>
      <c r="C165" s="11"/>
      <c r="D165" s="95"/>
      <c r="E165" s="94"/>
      <c r="F165" s="96"/>
      <c r="G165" s="97"/>
      <c r="H165" s="84"/>
      <c r="I165" s="84"/>
      <c r="J165" s="84"/>
      <c r="K165" s="84"/>
      <c r="L165" s="181"/>
      <c r="M165" s="180"/>
      <c r="N165" s="173"/>
      <c r="O165" s="84"/>
    </row>
    <row r="166" spans="2:21" ht="18.75" customHeight="1" thickBot="1" x14ac:dyDescent="0.3">
      <c r="B166" s="440" t="s">
        <v>393</v>
      </c>
      <c r="C166" s="198"/>
      <c r="D166" s="199" t="s">
        <v>390</v>
      </c>
      <c r="E166" s="196"/>
      <c r="F166" s="226">
        <v>900</v>
      </c>
      <c r="G166" s="214" t="s">
        <v>19</v>
      </c>
      <c r="H166" s="220"/>
      <c r="I166" s="431" t="e">
        <f>IF(U170&lt;=0.75,$S$58,IF(U170&lt;=0.9,$S$59,IF(U170&lt;1,$S$60,IF(U170&gt;=1,$S$61))))</f>
        <v>#N/A</v>
      </c>
      <c r="J166" s="431"/>
      <c r="K166" s="431"/>
      <c r="L166" s="431"/>
      <c r="M166" s="221"/>
      <c r="N166" s="174"/>
      <c r="O166" s="84"/>
    </row>
    <row r="167" spans="2:21" ht="3.6" customHeight="1" thickBot="1" x14ac:dyDescent="0.3">
      <c r="B167" s="440"/>
      <c r="C167" s="198"/>
      <c r="D167" s="188"/>
      <c r="E167" s="201"/>
      <c r="F167" s="202"/>
      <c r="G167" s="215"/>
      <c r="H167" s="220"/>
      <c r="I167" s="431"/>
      <c r="J167" s="431"/>
      <c r="K167" s="431"/>
      <c r="L167" s="431"/>
      <c r="M167" s="221"/>
      <c r="N167" s="174"/>
      <c r="O167" s="84"/>
    </row>
    <row r="168" spans="2:21" ht="18.75" customHeight="1" thickBot="1" x14ac:dyDescent="0.35">
      <c r="B168" s="440"/>
      <c r="C168" s="198"/>
      <c r="D168" s="188" t="s">
        <v>391</v>
      </c>
      <c r="E168" s="198"/>
      <c r="F168" s="225" t="e">
        <f>(F166*$F$56/$F$54)</f>
        <v>#N/A</v>
      </c>
      <c r="G168" s="210" t="s">
        <v>16</v>
      </c>
      <c r="H168" s="222"/>
      <c r="I168" s="431"/>
      <c r="J168" s="431"/>
      <c r="K168" s="431"/>
      <c r="L168" s="431"/>
      <c r="M168" s="221"/>
      <c r="N168" s="174"/>
      <c r="O168" s="84"/>
    </row>
    <row r="169" spans="2:21" ht="3.6" customHeight="1" thickBot="1" x14ac:dyDescent="0.3">
      <c r="B169" s="440"/>
      <c r="C169" s="201"/>
      <c r="D169" s="203"/>
      <c r="E169" s="198"/>
      <c r="F169" s="204"/>
      <c r="G169" s="216"/>
      <c r="H169" s="223"/>
      <c r="I169" s="431"/>
      <c r="J169" s="431"/>
      <c r="K169" s="431"/>
      <c r="L169" s="431"/>
      <c r="M169" s="221"/>
      <c r="N169" s="175"/>
      <c r="O169" s="84"/>
    </row>
    <row r="170" spans="2:21" ht="18.75" customHeight="1" thickBot="1" x14ac:dyDescent="0.35">
      <c r="B170" s="440"/>
      <c r="C170" s="205"/>
      <c r="D170" s="188" t="s">
        <v>392</v>
      </c>
      <c r="E170" s="198"/>
      <c r="F170" s="225" t="e">
        <f>(F166*$F$46/$F$54)</f>
        <v>#N/A</v>
      </c>
      <c r="G170" s="213" t="s">
        <v>19</v>
      </c>
      <c r="H170" s="223"/>
      <c r="I170" s="431"/>
      <c r="J170" s="431"/>
      <c r="K170" s="431"/>
      <c r="L170" s="431"/>
      <c r="M170" s="221"/>
      <c r="N170" s="175"/>
      <c r="O170" s="84"/>
      <c r="S170" s="206" t="s">
        <v>395</v>
      </c>
      <c r="T170" s="207"/>
      <c r="U170" s="208" t="e">
        <f>F170/$F$42</f>
        <v>#N/A</v>
      </c>
    </row>
    <row r="171" spans="2:21" ht="3" customHeight="1" thickBot="1" x14ac:dyDescent="0.3">
      <c r="B171" s="59"/>
      <c r="C171" s="60"/>
      <c r="D171" s="61"/>
      <c r="E171" s="60"/>
      <c r="F171" s="62"/>
      <c r="G171" s="60"/>
      <c r="H171" s="184"/>
      <c r="I171" s="184"/>
      <c r="J171" s="184"/>
      <c r="K171" s="184"/>
      <c r="L171" s="185"/>
      <c r="M171" s="186"/>
      <c r="N171" s="171"/>
      <c r="O171" s="164"/>
    </row>
    <row r="172" spans="2:21" s="238" customFormat="1" ht="18.75" customHeight="1" thickTop="1" thickBot="1" x14ac:dyDescent="0.3">
      <c r="B172" s="274"/>
      <c r="C172" s="274"/>
      <c r="D172" s="274"/>
      <c r="E172" s="274"/>
      <c r="F172" s="274"/>
      <c r="G172" s="274"/>
      <c r="H172" s="175"/>
      <c r="I172" s="178"/>
      <c r="J172" s="178"/>
      <c r="K172" s="178"/>
      <c r="L172" s="178"/>
      <c r="M172" s="178"/>
      <c r="N172" s="178"/>
      <c r="O172" s="178"/>
      <c r="T172" s="275" t="s">
        <v>383</v>
      </c>
      <c r="U172" s="275" t="s">
        <v>385</v>
      </c>
    </row>
    <row r="173" spans="2:21" ht="36" customHeight="1" thickTop="1" x14ac:dyDescent="0.25">
      <c r="B173" s="441" t="s">
        <v>407</v>
      </c>
      <c r="C173" s="442"/>
      <c r="D173" s="442"/>
      <c r="E173" s="442"/>
      <c r="F173" s="442"/>
      <c r="G173" s="442"/>
      <c r="H173" s="446" t="s">
        <v>401</v>
      </c>
      <c r="I173" s="446"/>
      <c r="J173" s="446"/>
      <c r="K173" s="446"/>
      <c r="L173" s="446"/>
      <c r="M173" s="447"/>
      <c r="N173" s="170"/>
      <c r="O173" s="167"/>
      <c r="S173" s="165" t="s">
        <v>386</v>
      </c>
      <c r="T173" s="131">
        <f>IF($F$11&lt;24,600,IF($F$11&gt;=24,600+$T$30))</f>
        <v>600</v>
      </c>
      <c r="U173" s="131">
        <f>IF(T173&lt;1200,T173,1200)</f>
        <v>600</v>
      </c>
    </row>
    <row r="174" spans="2:21" ht="18.75" customHeight="1" thickBot="1" x14ac:dyDescent="0.35">
      <c r="B174" s="443" t="str">
        <f>IF($F$36&lt;=150," ",IF($F$36&lt;=250,"PRESSURE IS ABOVE 150 PSIG - CONTACT APPLICATIONS ENGINEERING",IF($F$36&gt;250,"NOT RECOMMENDED FOR THE GIVEN PRESSURE")))</f>
        <v xml:space="preserve"> </v>
      </c>
      <c r="C174" s="444"/>
      <c r="D174" s="444"/>
      <c r="E174" s="444"/>
      <c r="F174" s="444"/>
      <c r="G174" s="444"/>
      <c r="H174" s="444" t="str">
        <f>IF($F$7=$Q$38,"THICKNESS APPLIES TO GYLON EPIX ONLY"," ")</f>
        <v xml:space="preserve"> </v>
      </c>
      <c r="I174" s="444"/>
      <c r="J174" s="444"/>
      <c r="K174" s="444"/>
      <c r="L174" s="444"/>
      <c r="M174" s="449"/>
      <c r="N174" s="174"/>
      <c r="O174" s="169"/>
    </row>
    <row r="175" spans="2:21" ht="18.75" customHeight="1" thickBot="1" x14ac:dyDescent="0.3">
      <c r="B175" s="58"/>
      <c r="C175" s="42"/>
      <c r="D175" s="15" t="s">
        <v>324</v>
      </c>
      <c r="E175" s="42"/>
      <c r="F175" s="231">
        <f>($F$36)</f>
        <v>0</v>
      </c>
      <c r="G175" s="13" t="s">
        <v>290</v>
      </c>
      <c r="H175" s="84"/>
      <c r="I175" s="84"/>
      <c r="J175" s="84"/>
      <c r="K175" s="84"/>
      <c r="L175" s="182"/>
      <c r="M175" s="183"/>
      <c r="N175" s="174"/>
      <c r="O175" s="236"/>
    </row>
    <row r="176" spans="2:21" ht="3" customHeight="1" thickBot="1" x14ac:dyDescent="0.3">
      <c r="B176" s="50"/>
      <c r="C176" s="43"/>
      <c r="D176" s="43"/>
      <c r="E176" s="43"/>
      <c r="F176" s="43"/>
      <c r="G176" s="43"/>
      <c r="H176" s="164"/>
      <c r="I176" s="164"/>
      <c r="J176" s="164"/>
      <c r="K176" s="164"/>
      <c r="L176" s="171"/>
      <c r="M176" s="179"/>
      <c r="N176" s="171"/>
      <c r="O176" s="164"/>
    </row>
    <row r="177" spans="2:21" ht="18.75" customHeight="1" thickBot="1" x14ac:dyDescent="0.35">
      <c r="B177" s="1"/>
      <c r="C177" s="2"/>
      <c r="D177" s="17" t="s">
        <v>319</v>
      </c>
      <c r="E177" s="2"/>
      <c r="F177" s="228">
        <f>($F$7)</f>
        <v>0</v>
      </c>
      <c r="G177" s="14" t="s">
        <v>321</v>
      </c>
      <c r="H177" s="38"/>
      <c r="I177" s="445" t="s">
        <v>396</v>
      </c>
      <c r="J177" s="445"/>
      <c r="K177" s="445"/>
      <c r="L177" s="445"/>
      <c r="M177" s="217"/>
      <c r="N177" s="173"/>
      <c r="O177" s="38"/>
    </row>
    <row r="178" spans="2:21" ht="19.2" customHeight="1" thickBot="1" x14ac:dyDescent="0.35">
      <c r="B178" s="50"/>
      <c r="C178" s="227"/>
      <c r="D178" s="14"/>
      <c r="E178" s="2"/>
      <c r="F178" s="57"/>
      <c r="G178" s="14"/>
      <c r="H178" s="227"/>
      <c r="I178" s="227"/>
      <c r="J178" s="227"/>
      <c r="K178" s="46"/>
      <c r="L178" s="181"/>
      <c r="M178" s="180"/>
      <c r="N178" s="173"/>
      <c r="O178" s="46"/>
    </row>
    <row r="179" spans="2:21" ht="18.75" customHeight="1" thickBot="1" x14ac:dyDescent="0.3">
      <c r="B179" s="440" t="s">
        <v>389</v>
      </c>
      <c r="C179" s="187"/>
      <c r="D179" s="188" t="s">
        <v>390</v>
      </c>
      <c r="E179" s="189"/>
      <c r="F179" s="224">
        <f>U173</f>
        <v>600</v>
      </c>
      <c r="G179" s="210" t="s">
        <v>19</v>
      </c>
      <c r="H179" s="220"/>
      <c r="I179" s="431" t="e">
        <f>IF(U183&lt;=0.75,$S$58,IF(U183&lt;=0.9,$S$59,IF(U183&lt;1,$S$60,IF(U183&gt;=1,$S$61))))</f>
        <v>#N/A</v>
      </c>
      <c r="J179" s="431"/>
      <c r="K179" s="431"/>
      <c r="L179" s="431"/>
      <c r="M179" s="221"/>
      <c r="N179" s="173"/>
      <c r="O179" s="46"/>
    </row>
    <row r="180" spans="2:21" ht="3.6" customHeight="1" thickBot="1" x14ac:dyDescent="0.35">
      <c r="B180" s="440"/>
      <c r="C180" s="190"/>
      <c r="D180" s="191"/>
      <c r="E180" s="192"/>
      <c r="F180" s="193"/>
      <c r="G180" s="191"/>
      <c r="H180" s="190"/>
      <c r="I180" s="431"/>
      <c r="J180" s="431"/>
      <c r="K180" s="431"/>
      <c r="L180" s="431"/>
      <c r="M180" s="221"/>
      <c r="N180" s="173"/>
      <c r="O180" s="39"/>
      <c r="S180" s="7">
        <f>IF($F$26&lt;301,2500,IF($F$26&lt;801,4800,IF($F$26&lt;2001,7400,IF($F$26&gt;2000,$S$11))))</f>
        <v>2500</v>
      </c>
      <c r="T180" s="7">
        <f>IF($F$26&lt;301,3600,IF($F$26&lt;801,5400,IF($F$26&lt;2001,8400,IF($F$26&gt;2000,$S$11))))</f>
        <v>3600</v>
      </c>
    </row>
    <row r="181" spans="2:21" ht="18.75" customHeight="1" thickBot="1" x14ac:dyDescent="0.35">
      <c r="B181" s="440"/>
      <c r="C181" s="190"/>
      <c r="D181" s="194" t="s">
        <v>391</v>
      </c>
      <c r="E181" s="195"/>
      <c r="F181" s="225" t="e">
        <f>(F179*$F$56/$F$54)</f>
        <v>#N/A</v>
      </c>
      <c r="G181" s="211" t="s">
        <v>16</v>
      </c>
      <c r="H181" s="190"/>
      <c r="I181" s="431"/>
      <c r="J181" s="431"/>
      <c r="K181" s="431"/>
      <c r="L181" s="431"/>
      <c r="M181" s="221"/>
      <c r="N181" s="173"/>
      <c r="O181" s="39"/>
    </row>
    <row r="182" spans="2:21" ht="3.6" customHeight="1" thickBot="1" x14ac:dyDescent="0.35">
      <c r="B182" s="440"/>
      <c r="C182" s="196"/>
      <c r="D182" s="197"/>
      <c r="E182" s="192"/>
      <c r="F182" s="193"/>
      <c r="G182" s="212"/>
      <c r="H182" s="196"/>
      <c r="I182" s="431"/>
      <c r="J182" s="431"/>
      <c r="K182" s="431"/>
      <c r="L182" s="431"/>
      <c r="M182" s="221"/>
      <c r="N182" s="173"/>
      <c r="O182" s="94"/>
    </row>
    <row r="183" spans="2:21" ht="18.75" customHeight="1" thickBot="1" x14ac:dyDescent="0.35">
      <c r="B183" s="440"/>
      <c r="C183" s="196"/>
      <c r="D183" s="197" t="s">
        <v>392</v>
      </c>
      <c r="E183" s="192"/>
      <c r="F183" s="225" t="e">
        <f>(F179*$F$46/$F$54)</f>
        <v>#N/A</v>
      </c>
      <c r="G183" s="213" t="s">
        <v>19</v>
      </c>
      <c r="H183" s="196"/>
      <c r="I183" s="431"/>
      <c r="J183" s="431"/>
      <c r="K183" s="431"/>
      <c r="L183" s="431"/>
      <c r="M183" s="221"/>
      <c r="N183" s="173"/>
      <c r="O183" s="94"/>
      <c r="S183" s="206" t="s">
        <v>394</v>
      </c>
      <c r="T183" s="207"/>
      <c r="U183" s="208" t="e">
        <f>F183/$F$42</f>
        <v>#N/A</v>
      </c>
    </row>
    <row r="184" spans="2:21" ht="18.75" customHeight="1" thickBot="1" x14ac:dyDescent="0.3">
      <c r="B184" s="1"/>
      <c r="C184" s="11"/>
      <c r="D184" s="95"/>
      <c r="E184" s="94"/>
      <c r="F184" s="96"/>
      <c r="G184" s="97"/>
      <c r="H184" s="84"/>
      <c r="I184" s="84"/>
      <c r="J184" s="84"/>
      <c r="K184" s="84"/>
      <c r="L184" s="181"/>
      <c r="M184" s="180"/>
      <c r="N184" s="173"/>
      <c r="O184" s="84"/>
    </row>
    <row r="185" spans="2:21" ht="18.75" customHeight="1" thickBot="1" x14ac:dyDescent="0.3">
      <c r="B185" s="440" t="s">
        <v>393</v>
      </c>
      <c r="C185" s="198"/>
      <c r="D185" s="199" t="s">
        <v>390</v>
      </c>
      <c r="E185" s="196"/>
      <c r="F185" s="226">
        <v>1200</v>
      </c>
      <c r="G185" s="214" t="s">
        <v>19</v>
      </c>
      <c r="H185" s="220"/>
      <c r="I185" s="431" t="e">
        <f>IF(U189&lt;=0.75,$S$58,IF(U189&lt;=0.9,$S$59,IF(U189&lt;1,$S$60,IF(U189&gt;=1,$S$61))))</f>
        <v>#N/A</v>
      </c>
      <c r="J185" s="431"/>
      <c r="K185" s="431"/>
      <c r="L185" s="431"/>
      <c r="M185" s="221"/>
      <c r="N185" s="174"/>
      <c r="O185" s="84"/>
    </row>
    <row r="186" spans="2:21" ht="3.6" customHeight="1" thickBot="1" x14ac:dyDescent="0.3">
      <c r="B186" s="440"/>
      <c r="C186" s="198"/>
      <c r="D186" s="188"/>
      <c r="E186" s="201"/>
      <c r="F186" s="202"/>
      <c r="G186" s="215"/>
      <c r="H186" s="220"/>
      <c r="I186" s="431"/>
      <c r="J186" s="431"/>
      <c r="K186" s="431"/>
      <c r="L186" s="431"/>
      <c r="M186" s="221"/>
      <c r="N186" s="174"/>
      <c r="O186" s="84"/>
    </row>
    <row r="187" spans="2:21" ht="18.75" customHeight="1" thickBot="1" x14ac:dyDescent="0.35">
      <c r="B187" s="440"/>
      <c r="C187" s="198"/>
      <c r="D187" s="188" t="s">
        <v>391</v>
      </c>
      <c r="E187" s="198"/>
      <c r="F187" s="225" t="e">
        <f>(F185*$F$56/$F$54)</f>
        <v>#N/A</v>
      </c>
      <c r="G187" s="210" t="s">
        <v>16</v>
      </c>
      <c r="H187" s="222"/>
      <c r="I187" s="431"/>
      <c r="J187" s="431"/>
      <c r="K187" s="431"/>
      <c r="L187" s="431"/>
      <c r="M187" s="221"/>
      <c r="N187" s="174"/>
      <c r="O187" s="84"/>
    </row>
    <row r="188" spans="2:21" ht="3.6" customHeight="1" thickBot="1" x14ac:dyDescent="0.3">
      <c r="B188" s="440"/>
      <c r="C188" s="201"/>
      <c r="D188" s="203"/>
      <c r="E188" s="198"/>
      <c r="F188" s="204"/>
      <c r="G188" s="216"/>
      <c r="H188" s="223"/>
      <c r="I188" s="431"/>
      <c r="J188" s="431"/>
      <c r="K188" s="431"/>
      <c r="L188" s="431"/>
      <c r="M188" s="221"/>
      <c r="N188" s="175"/>
      <c r="O188" s="84"/>
    </row>
    <row r="189" spans="2:21" ht="18.75" customHeight="1" thickBot="1" x14ac:dyDescent="0.35">
      <c r="B189" s="440"/>
      <c r="C189" s="205"/>
      <c r="D189" s="188" t="s">
        <v>392</v>
      </c>
      <c r="E189" s="198"/>
      <c r="F189" s="225" t="e">
        <f>(F185*$F$46/$F$54)</f>
        <v>#N/A</v>
      </c>
      <c r="G189" s="213" t="s">
        <v>19</v>
      </c>
      <c r="H189" s="223"/>
      <c r="I189" s="431"/>
      <c r="J189" s="431"/>
      <c r="K189" s="431"/>
      <c r="L189" s="431"/>
      <c r="M189" s="221"/>
      <c r="N189" s="175"/>
      <c r="O189" s="84"/>
      <c r="S189" s="206" t="s">
        <v>395</v>
      </c>
      <c r="T189" s="207"/>
      <c r="U189" s="208" t="e">
        <f>F189/$F$42</f>
        <v>#N/A</v>
      </c>
    </row>
    <row r="190" spans="2:21" ht="2.4" customHeight="1" thickBot="1" x14ac:dyDescent="0.3">
      <c r="B190" s="59"/>
      <c r="C190" s="60"/>
      <c r="D190" s="61"/>
      <c r="E190" s="60"/>
      <c r="F190" s="62"/>
      <c r="G190" s="60"/>
      <c r="H190" s="184"/>
      <c r="I190" s="184"/>
      <c r="J190" s="184"/>
      <c r="K190" s="184"/>
      <c r="L190" s="184"/>
      <c r="M190" s="219"/>
      <c r="N190" s="164"/>
      <c r="O190" s="164"/>
    </row>
    <row r="191" spans="2:21" ht="18.75" customHeight="1" thickTop="1" x14ac:dyDescent="0.25"/>
    <row r="192" spans="2:21" ht="18.75" hidden="1" customHeight="1" x14ac:dyDescent="0.25"/>
    <row r="193" ht="18.75" hidden="1" customHeight="1" x14ac:dyDescent="0.25"/>
    <row r="194" ht="18.75" hidden="1" customHeight="1" x14ac:dyDescent="0.25"/>
    <row r="195" ht="18.75" hidden="1" customHeight="1" x14ac:dyDescent="0.25"/>
    <row r="196" ht="18.75" hidden="1" customHeight="1" x14ac:dyDescent="0.25"/>
    <row r="197" ht="18.75" hidden="1" customHeight="1" x14ac:dyDescent="0.25"/>
    <row r="198" ht="18.75" hidden="1" customHeight="1" x14ac:dyDescent="0.25"/>
    <row r="199" ht="18.75" hidden="1" customHeight="1" x14ac:dyDescent="0.25"/>
    <row r="200" ht="18.75" hidden="1" customHeight="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spans="28:31" hidden="1" x14ac:dyDescent="0.25"/>
    <row r="242" spans="28:31" hidden="1" x14ac:dyDescent="0.25"/>
    <row r="243" spans="28:31" hidden="1" x14ac:dyDescent="0.25"/>
    <row r="244" spans="28:31" hidden="1" x14ac:dyDescent="0.25">
      <c r="AB244" s="7" t="s">
        <v>41</v>
      </c>
      <c r="AD244" s="28">
        <v>0.25</v>
      </c>
      <c r="AE244" s="7" t="e">
        <f>LOOKUP($F$40,BOLT!$A$1:$A$39,BOLT!B$1:B$39)</f>
        <v>#N/A</v>
      </c>
    </row>
    <row r="245" spans="28:31" hidden="1" x14ac:dyDescent="0.25">
      <c r="AB245" s="7" t="s">
        <v>42</v>
      </c>
      <c r="AD245" s="28">
        <v>0.3125</v>
      </c>
      <c r="AE245" s="7" t="e">
        <f>LOOKUP($F$40,BOLT!$A$1:$A$39,BOLT!C$1:C$39)</f>
        <v>#N/A</v>
      </c>
    </row>
    <row r="246" spans="28:31" hidden="1" x14ac:dyDescent="0.25">
      <c r="AB246" s="7" t="s">
        <v>43</v>
      </c>
      <c r="AD246" s="28">
        <v>0.375</v>
      </c>
      <c r="AE246" s="7" t="e">
        <f>LOOKUP($F$40,BOLT!$A$1:$A$39,BOLT!D$1:D$39)</f>
        <v>#N/A</v>
      </c>
    </row>
    <row r="247" spans="28:31" hidden="1" x14ac:dyDescent="0.25">
      <c r="AB247" s="7" t="s">
        <v>44</v>
      </c>
      <c r="AD247" s="28">
        <v>0.4375</v>
      </c>
      <c r="AE247" s="7" t="e">
        <f>LOOKUP($F$40,BOLT!$A$1:$A$39,BOLT!E$1:E$39)</f>
        <v>#N/A</v>
      </c>
    </row>
    <row r="248" spans="28:31" hidden="1" x14ac:dyDescent="0.25">
      <c r="AB248" s="7" t="s">
        <v>45</v>
      </c>
      <c r="AD248" s="28">
        <v>0.5</v>
      </c>
      <c r="AE248" s="7" t="e">
        <f>LOOKUP($F$40,BOLT!$A$1:$A$39,BOLT!F$1:F$39)</f>
        <v>#N/A</v>
      </c>
    </row>
    <row r="249" spans="28:31" hidden="1" x14ac:dyDescent="0.25">
      <c r="AB249" s="7" t="s">
        <v>46</v>
      </c>
      <c r="AD249" s="28">
        <v>0.5625</v>
      </c>
      <c r="AE249" s="7" t="e">
        <f>LOOKUP($F$40,BOLT!$A$1:$A$39,BOLT!G$1:G$39)</f>
        <v>#N/A</v>
      </c>
    </row>
    <row r="250" spans="28:31" hidden="1" x14ac:dyDescent="0.25">
      <c r="AB250" s="7" t="s">
        <v>47</v>
      </c>
      <c r="AD250" s="28">
        <v>0.625</v>
      </c>
      <c r="AE250" s="7" t="e">
        <f>LOOKUP($F$40,BOLT!$A$1:$A$39,BOLT!H$1:H$39)</f>
        <v>#N/A</v>
      </c>
    </row>
    <row r="251" spans="28:31" hidden="1" x14ac:dyDescent="0.25">
      <c r="AB251" s="7" t="s">
        <v>48</v>
      </c>
      <c r="AD251" s="28">
        <v>0.75</v>
      </c>
      <c r="AE251" s="7" t="e">
        <f>LOOKUP($F$40,BOLT!$A$1:$A$39,BOLT!I$1:I$39)</f>
        <v>#N/A</v>
      </c>
    </row>
    <row r="252" spans="28:31" hidden="1" x14ac:dyDescent="0.25">
      <c r="AB252" s="7" t="s">
        <v>49</v>
      </c>
      <c r="AD252" s="28">
        <v>0.875</v>
      </c>
      <c r="AE252" s="7" t="e">
        <f>LOOKUP($F$40,BOLT!$A$1:$A$39,BOLT!J$1:J$39)</f>
        <v>#N/A</v>
      </c>
    </row>
    <row r="253" spans="28:31" hidden="1" x14ac:dyDescent="0.25">
      <c r="AB253" s="7" t="s">
        <v>50</v>
      </c>
      <c r="AD253" s="28">
        <v>1</v>
      </c>
      <c r="AE253" s="7" t="e">
        <f>LOOKUP($F$40,BOLT!$A$1:$A$39,BOLT!K$1:K$39)</f>
        <v>#N/A</v>
      </c>
    </row>
    <row r="254" spans="28:31" hidden="1" x14ac:dyDescent="0.25">
      <c r="AB254" s="7" t="s">
        <v>51</v>
      </c>
      <c r="AD254" s="28">
        <v>1.125</v>
      </c>
      <c r="AE254" s="7" t="e">
        <f>LOOKUP($F$40,BOLT!$A$1:$A$39,BOLT!L$1:L$39)</f>
        <v>#N/A</v>
      </c>
    </row>
    <row r="255" spans="28:31" hidden="1" x14ac:dyDescent="0.25">
      <c r="AB255" s="7" t="s">
        <v>52</v>
      </c>
      <c r="AD255" s="28">
        <v>1.25</v>
      </c>
      <c r="AE255" s="7" t="e">
        <f>LOOKUP($F$40,BOLT!$A$1:$A$39,BOLT!M$1:M$39)</f>
        <v>#N/A</v>
      </c>
    </row>
    <row r="256" spans="28:31" hidden="1" x14ac:dyDescent="0.25">
      <c r="AB256" s="7" t="s">
        <v>53</v>
      </c>
      <c r="AD256" s="28">
        <v>1.375</v>
      </c>
      <c r="AE256" s="7" t="e">
        <f>LOOKUP($F$40,BOLT!$A$1:$A$39,BOLT!N$1:N$39)</f>
        <v>#N/A</v>
      </c>
    </row>
    <row r="257" spans="28:31" hidden="1" x14ac:dyDescent="0.25">
      <c r="AB257" s="7" t="s">
        <v>54</v>
      </c>
      <c r="AD257" s="28">
        <v>1.5</v>
      </c>
      <c r="AE257" s="7" t="e">
        <f>LOOKUP($F$40,BOLT!$A$1:$A$39,BOLT!O$1:O$39)</f>
        <v>#N/A</v>
      </c>
    </row>
    <row r="258" spans="28:31" hidden="1" x14ac:dyDescent="0.25">
      <c r="AB258" s="7" t="s">
        <v>55</v>
      </c>
      <c r="AD258" s="28">
        <v>1.625</v>
      </c>
      <c r="AE258" s="7" t="e">
        <f>LOOKUP($F$40,BOLT!$A$1:$A$39,BOLT!P$1:P$39)</f>
        <v>#N/A</v>
      </c>
    </row>
    <row r="259" spans="28:31" hidden="1" x14ac:dyDescent="0.25">
      <c r="AB259" s="7" t="s">
        <v>57</v>
      </c>
      <c r="AD259" s="28">
        <v>1.75</v>
      </c>
      <c r="AE259" s="7" t="e">
        <f>LOOKUP($F$40,BOLT!$A$1:$A$39,BOLT!Q$1:Q$39)</f>
        <v>#N/A</v>
      </c>
    </row>
    <row r="260" spans="28:31" hidden="1" x14ac:dyDescent="0.25">
      <c r="AB260" s="7" t="s">
        <v>58</v>
      </c>
      <c r="AD260" s="28">
        <v>1.875</v>
      </c>
      <c r="AE260" s="7" t="e">
        <f>LOOKUP($F$40,BOLT!$A$1:$A$39,BOLT!R$1:R$39)</f>
        <v>#N/A</v>
      </c>
    </row>
    <row r="261" spans="28:31" hidden="1" x14ac:dyDescent="0.25">
      <c r="AB261" s="7" t="s">
        <v>59</v>
      </c>
      <c r="AD261" s="28">
        <v>2</v>
      </c>
      <c r="AE261" s="7" t="e">
        <f>LOOKUP($F$40,BOLT!$A$1:$A$39,BOLT!S$1:S$39)</f>
        <v>#N/A</v>
      </c>
    </row>
    <row r="262" spans="28:31" hidden="1" x14ac:dyDescent="0.25">
      <c r="AB262" s="7" t="s">
        <v>60</v>
      </c>
      <c r="AD262" s="28">
        <v>2.25</v>
      </c>
      <c r="AE262" s="7" t="e">
        <f>LOOKUP($F$40,BOLT!$A$1:$A$39,BOLT!T$1:T$39)</f>
        <v>#N/A</v>
      </c>
    </row>
    <row r="263" spans="28:31" hidden="1" x14ac:dyDescent="0.25">
      <c r="AB263" s="7" t="s">
        <v>61</v>
      </c>
      <c r="AD263" s="28">
        <v>2.5</v>
      </c>
      <c r="AE263" s="7" t="e">
        <f>LOOKUP($F$40,BOLT!$A$1:$A$39,BOLT!U$1:U$39)</f>
        <v>#N/A</v>
      </c>
    </row>
    <row r="264" spans="28:31" hidden="1" x14ac:dyDescent="0.25">
      <c r="AB264" s="7" t="s">
        <v>62</v>
      </c>
      <c r="AD264" s="28">
        <v>2.75</v>
      </c>
      <c r="AE264" s="7" t="e">
        <f>LOOKUP($F$40,BOLT!$A$1:$A$39,BOLT!V$1:V$39)</f>
        <v>#N/A</v>
      </c>
    </row>
    <row r="265" spans="28:31" hidden="1" x14ac:dyDescent="0.25">
      <c r="AB265" s="7" t="s">
        <v>63</v>
      </c>
      <c r="AD265" s="28">
        <v>3</v>
      </c>
      <c r="AE265" s="7" t="e">
        <f>LOOKUP($F$40,BOLT!$A$1:$A$39,BOLT!W$1:W$39)</f>
        <v>#N/A</v>
      </c>
    </row>
    <row r="266" spans="28:31" hidden="1" x14ac:dyDescent="0.25">
      <c r="AB266" s="7" t="s">
        <v>64</v>
      </c>
    </row>
    <row r="267" spans="28:31" hidden="1" x14ac:dyDescent="0.25">
      <c r="AB267" s="7" t="s">
        <v>65</v>
      </c>
    </row>
    <row r="268" spans="28:31" hidden="1" x14ac:dyDescent="0.25">
      <c r="AB268" s="7" t="s">
        <v>66</v>
      </c>
    </row>
    <row r="269" spans="28:31" hidden="1" x14ac:dyDescent="0.25">
      <c r="AB269" s="7" t="s">
        <v>67</v>
      </c>
    </row>
    <row r="270" spans="28:31" hidden="1" x14ac:dyDescent="0.25">
      <c r="AB270" s="7" t="s">
        <v>68</v>
      </c>
    </row>
    <row r="271" spans="28:31" hidden="1" x14ac:dyDescent="0.25">
      <c r="AB271" s="7" t="s">
        <v>69</v>
      </c>
    </row>
    <row r="272" spans="28:31" hidden="1" x14ac:dyDescent="0.25">
      <c r="AB272" s="7" t="s">
        <v>70</v>
      </c>
    </row>
    <row r="273" spans="28:28" hidden="1" x14ac:dyDescent="0.25">
      <c r="AB273" s="7" t="s">
        <v>71</v>
      </c>
    </row>
    <row r="274" spans="28:28" hidden="1" x14ac:dyDescent="0.25">
      <c r="AB274" s="7" t="s">
        <v>72</v>
      </c>
    </row>
    <row r="275" spans="28:28" hidden="1" x14ac:dyDescent="0.25">
      <c r="AB275" s="7" t="s">
        <v>73</v>
      </c>
    </row>
    <row r="276" spans="28:28" hidden="1" x14ac:dyDescent="0.25">
      <c r="AB276" s="7" t="s">
        <v>74</v>
      </c>
    </row>
    <row r="277" spans="28:28" hidden="1" x14ac:dyDescent="0.25">
      <c r="AB277" s="7" t="s">
        <v>75</v>
      </c>
    </row>
    <row r="278" spans="28:28" hidden="1" x14ac:dyDescent="0.25">
      <c r="AB278" s="7" t="s">
        <v>76</v>
      </c>
    </row>
    <row r="279" spans="28:28" hidden="1" x14ac:dyDescent="0.25">
      <c r="AB279" s="7" t="s">
        <v>77</v>
      </c>
    </row>
    <row r="280" spans="28:28" hidden="1" x14ac:dyDescent="0.25">
      <c r="AB280" s="7" t="s">
        <v>78</v>
      </c>
    </row>
    <row r="281" spans="28:28" hidden="1" x14ac:dyDescent="0.25">
      <c r="AB281" s="7" t="s">
        <v>79</v>
      </c>
    </row>
  </sheetData>
  <sheetProtection password="D401" sheet="1" objects="1" scenarios="1" selectLockedCells="1"/>
  <mergeCells count="69">
    <mergeCell ref="H64:M64"/>
    <mergeCell ref="H81:M81"/>
    <mergeCell ref="H98:M98"/>
    <mergeCell ref="H115:M115"/>
    <mergeCell ref="H132:M132"/>
    <mergeCell ref="B3:L3"/>
    <mergeCell ref="B63:M63"/>
    <mergeCell ref="K5:N5"/>
    <mergeCell ref="C19:J20"/>
    <mergeCell ref="H22:I22"/>
    <mergeCell ref="H24:I24"/>
    <mergeCell ref="H26:I26"/>
    <mergeCell ref="H31:I31"/>
    <mergeCell ref="F40:G40"/>
    <mergeCell ref="B58:M60"/>
    <mergeCell ref="I46:K46"/>
    <mergeCell ref="B90:B94"/>
    <mergeCell ref="I90:L94"/>
    <mergeCell ref="I65:L65"/>
    <mergeCell ref="B67:B71"/>
    <mergeCell ref="I67:L71"/>
    <mergeCell ref="B73:B77"/>
    <mergeCell ref="I73:L77"/>
    <mergeCell ref="B80:M80"/>
    <mergeCell ref="I82:L82"/>
    <mergeCell ref="B84:B88"/>
    <mergeCell ref="I84:L88"/>
    <mergeCell ref="B64:G64"/>
    <mergeCell ref="B81:G81"/>
    <mergeCell ref="B124:B128"/>
    <mergeCell ref="I124:L128"/>
    <mergeCell ref="B97:M97"/>
    <mergeCell ref="I99:L99"/>
    <mergeCell ref="B101:B105"/>
    <mergeCell ref="I101:L105"/>
    <mergeCell ref="B107:B111"/>
    <mergeCell ref="I107:L111"/>
    <mergeCell ref="B114:M114"/>
    <mergeCell ref="I116:L116"/>
    <mergeCell ref="B118:B122"/>
    <mergeCell ref="I118:L122"/>
    <mergeCell ref="B98:G98"/>
    <mergeCell ref="B115:G115"/>
    <mergeCell ref="I158:L158"/>
    <mergeCell ref="B131:M131"/>
    <mergeCell ref="I133:L133"/>
    <mergeCell ref="B135:B139"/>
    <mergeCell ref="I135:L139"/>
    <mergeCell ref="B141:B145"/>
    <mergeCell ref="I141:L145"/>
    <mergeCell ref="B148:M148"/>
    <mergeCell ref="B149:M151"/>
    <mergeCell ref="B154:G154"/>
    <mergeCell ref="H154:M154"/>
    <mergeCell ref="B155:G155"/>
    <mergeCell ref="H155:M155"/>
    <mergeCell ref="B160:B164"/>
    <mergeCell ref="I160:L164"/>
    <mergeCell ref="B166:B170"/>
    <mergeCell ref="I166:L170"/>
    <mergeCell ref="B173:G173"/>
    <mergeCell ref="H173:M173"/>
    <mergeCell ref="B174:G174"/>
    <mergeCell ref="I177:L177"/>
    <mergeCell ref="B179:B183"/>
    <mergeCell ref="I179:L183"/>
    <mergeCell ref="B185:B189"/>
    <mergeCell ref="I185:L189"/>
    <mergeCell ref="H174:M174"/>
  </mergeCells>
  <conditionalFormatting sqref="I67:L71">
    <cfRule type="cellIs" dxfId="61" priority="60" operator="equal">
      <formula>$S$60</formula>
    </cfRule>
    <cfRule type="cellIs" dxfId="60" priority="61" operator="equal">
      <formula>$S$59</formula>
    </cfRule>
    <cfRule type="cellIs" dxfId="59" priority="62" operator="equal">
      <formula>$S$58</formula>
    </cfRule>
  </conditionalFormatting>
  <conditionalFormatting sqref="I67:L71">
    <cfRule type="cellIs" dxfId="58" priority="59" operator="equal">
      <formula>$S$61</formula>
    </cfRule>
  </conditionalFormatting>
  <conditionalFormatting sqref="I73:L77">
    <cfRule type="cellIs" dxfId="57" priority="56" operator="equal">
      <formula>$S$60</formula>
    </cfRule>
    <cfRule type="cellIs" dxfId="56" priority="57" operator="equal">
      <formula>$S$59</formula>
    </cfRule>
    <cfRule type="cellIs" dxfId="55" priority="58" operator="equal">
      <formula>$S$58</formula>
    </cfRule>
  </conditionalFormatting>
  <conditionalFormatting sqref="I73:L77">
    <cfRule type="cellIs" dxfId="54" priority="55" operator="equal">
      <formula>$S$61</formula>
    </cfRule>
  </conditionalFormatting>
  <conditionalFormatting sqref="I84:L88">
    <cfRule type="cellIs" dxfId="53" priority="52" operator="equal">
      <formula>$S$60</formula>
    </cfRule>
    <cfRule type="cellIs" dxfId="52" priority="53" operator="equal">
      <formula>$S$59</formula>
    </cfRule>
    <cfRule type="cellIs" dxfId="51" priority="54" operator="equal">
      <formula>$S$58</formula>
    </cfRule>
  </conditionalFormatting>
  <conditionalFormatting sqref="I84:L88">
    <cfRule type="cellIs" dxfId="50" priority="51" operator="equal">
      <formula>$S$61</formula>
    </cfRule>
  </conditionalFormatting>
  <conditionalFormatting sqref="I90:L94">
    <cfRule type="cellIs" dxfId="49" priority="48" operator="equal">
      <formula>$S$60</formula>
    </cfRule>
    <cfRule type="cellIs" dxfId="48" priority="49" operator="equal">
      <formula>$S$59</formula>
    </cfRule>
    <cfRule type="cellIs" dxfId="47" priority="50" operator="equal">
      <formula>$S$58</formula>
    </cfRule>
  </conditionalFormatting>
  <conditionalFormatting sqref="I90:L94">
    <cfRule type="cellIs" dxfId="46" priority="47" operator="equal">
      <formula>$S$61</formula>
    </cfRule>
  </conditionalFormatting>
  <conditionalFormatting sqref="I101:L105">
    <cfRule type="cellIs" dxfId="45" priority="44" operator="equal">
      <formula>$S$60</formula>
    </cfRule>
    <cfRule type="cellIs" dxfId="44" priority="45" operator="equal">
      <formula>$S$59</formula>
    </cfRule>
    <cfRule type="cellIs" dxfId="43" priority="46" operator="equal">
      <formula>$S$58</formula>
    </cfRule>
  </conditionalFormatting>
  <conditionalFormatting sqref="I101:L105">
    <cfRule type="cellIs" dxfId="42" priority="43" operator="equal">
      <formula>$S$61</formula>
    </cfRule>
  </conditionalFormatting>
  <conditionalFormatting sqref="I107:L111">
    <cfRule type="cellIs" dxfId="41" priority="40" operator="equal">
      <formula>$S$60</formula>
    </cfRule>
    <cfRule type="cellIs" dxfId="40" priority="41" operator="equal">
      <formula>$S$59</formula>
    </cfRule>
    <cfRule type="cellIs" dxfId="39" priority="42" operator="equal">
      <formula>$S$58</formula>
    </cfRule>
  </conditionalFormatting>
  <conditionalFormatting sqref="I107:L111">
    <cfRule type="cellIs" dxfId="38" priority="39" operator="equal">
      <formula>$S$61</formula>
    </cfRule>
  </conditionalFormatting>
  <conditionalFormatting sqref="I118:L122">
    <cfRule type="cellIs" dxfId="37" priority="36" operator="equal">
      <formula>$S$60</formula>
    </cfRule>
    <cfRule type="cellIs" dxfId="36" priority="37" operator="equal">
      <formula>$S$59</formula>
    </cfRule>
    <cfRule type="cellIs" dxfId="35" priority="38" operator="equal">
      <formula>$S$58</formula>
    </cfRule>
  </conditionalFormatting>
  <conditionalFormatting sqref="I118:L122">
    <cfRule type="cellIs" dxfId="34" priority="35" operator="equal">
      <formula>$S$61</formula>
    </cfRule>
  </conditionalFormatting>
  <conditionalFormatting sqref="I124:L128">
    <cfRule type="cellIs" dxfId="33" priority="32" operator="equal">
      <formula>$S$60</formula>
    </cfRule>
    <cfRule type="cellIs" dxfId="32" priority="33" operator="equal">
      <formula>$S$59</formula>
    </cfRule>
    <cfRule type="cellIs" dxfId="31" priority="34" operator="equal">
      <formula>$S$58</formula>
    </cfRule>
  </conditionalFormatting>
  <conditionalFormatting sqref="I124:L128">
    <cfRule type="cellIs" dxfId="30" priority="31" operator="equal">
      <formula>$S$61</formula>
    </cfRule>
  </conditionalFormatting>
  <conditionalFormatting sqref="I135:L139">
    <cfRule type="cellIs" dxfId="29" priority="28" operator="equal">
      <formula>$S$60</formula>
    </cfRule>
    <cfRule type="cellIs" dxfId="28" priority="29" operator="equal">
      <formula>$S$59</formula>
    </cfRule>
    <cfRule type="cellIs" dxfId="27" priority="30" operator="equal">
      <formula>$S$58</formula>
    </cfRule>
  </conditionalFormatting>
  <conditionalFormatting sqref="I135:L139">
    <cfRule type="cellIs" dxfId="26" priority="27" operator="equal">
      <formula>$S$61</formula>
    </cfRule>
  </conditionalFormatting>
  <conditionalFormatting sqref="I141:L145">
    <cfRule type="cellIs" dxfId="25" priority="24" operator="equal">
      <formula>$S$60</formula>
    </cfRule>
    <cfRule type="cellIs" dxfId="24" priority="25" operator="equal">
      <formula>$S$59</formula>
    </cfRule>
    <cfRule type="cellIs" dxfId="23" priority="26" operator="equal">
      <formula>$S$58</formula>
    </cfRule>
  </conditionalFormatting>
  <conditionalFormatting sqref="I141:L145">
    <cfRule type="cellIs" dxfId="22" priority="23" operator="equal">
      <formula>$S$61</formula>
    </cfRule>
  </conditionalFormatting>
  <conditionalFormatting sqref="I160:L164">
    <cfRule type="cellIs" dxfId="21" priority="20" operator="equal">
      <formula>$S$60</formula>
    </cfRule>
    <cfRule type="cellIs" dxfId="20" priority="21" operator="equal">
      <formula>$S$59</formula>
    </cfRule>
    <cfRule type="cellIs" dxfId="19" priority="22" operator="equal">
      <formula>$S$58</formula>
    </cfRule>
  </conditionalFormatting>
  <conditionalFormatting sqref="I160:L164">
    <cfRule type="cellIs" dxfId="18" priority="19" operator="equal">
      <formula>$S$61</formula>
    </cfRule>
  </conditionalFormatting>
  <conditionalFormatting sqref="I166:L170">
    <cfRule type="cellIs" dxfId="17" priority="16" operator="equal">
      <formula>$S$60</formula>
    </cfRule>
    <cfRule type="cellIs" dxfId="16" priority="17" operator="equal">
      <formula>$S$59</formula>
    </cfRule>
    <cfRule type="cellIs" dxfId="15" priority="18" operator="equal">
      <formula>$S$58</formula>
    </cfRule>
  </conditionalFormatting>
  <conditionalFormatting sqref="I166:L170">
    <cfRule type="cellIs" dxfId="14" priority="15" operator="equal">
      <formula>$S$61</formula>
    </cfRule>
  </conditionalFormatting>
  <conditionalFormatting sqref="I179:L183">
    <cfRule type="cellIs" dxfId="13" priority="12" operator="equal">
      <formula>$S$60</formula>
    </cfRule>
    <cfRule type="cellIs" dxfId="12" priority="13" operator="equal">
      <formula>$S$59</formula>
    </cfRule>
    <cfRule type="cellIs" dxfId="11" priority="14" operator="equal">
      <formula>$S$58</formula>
    </cfRule>
  </conditionalFormatting>
  <conditionalFormatting sqref="I179:L183">
    <cfRule type="cellIs" dxfId="10" priority="11" operator="equal">
      <formula>$S$61</formula>
    </cfRule>
  </conditionalFormatting>
  <conditionalFormatting sqref="I185:L189">
    <cfRule type="cellIs" dxfId="9" priority="8" operator="equal">
      <formula>$S$60</formula>
    </cfRule>
    <cfRule type="cellIs" dxfId="8" priority="9" operator="equal">
      <formula>$S$59</formula>
    </cfRule>
    <cfRule type="cellIs" dxfId="7" priority="10" operator="equal">
      <formula>$S$58</formula>
    </cfRule>
  </conditionalFormatting>
  <conditionalFormatting sqref="I185:L189">
    <cfRule type="cellIs" dxfId="6" priority="7" operator="equal">
      <formula>$S$61</formula>
    </cfRule>
  </conditionalFormatting>
  <conditionalFormatting sqref="H22:I22 H26:I26 H31:I31 H24:I24">
    <cfRule type="cellIs" dxfId="5" priority="5" operator="equal">
      <formula>$Q$24</formula>
    </cfRule>
    <cfRule type="cellIs" dxfId="4" priority="6" operator="equal">
      <formula>$Q$22</formula>
    </cfRule>
  </conditionalFormatting>
  <conditionalFormatting sqref="H46">
    <cfRule type="cellIs" dxfId="3" priority="1" operator="greaterThanOrEqual">
      <formula>100%</formula>
    </cfRule>
    <cfRule type="cellIs" dxfId="2" priority="2" operator="greaterThan">
      <formula>90.1%</formula>
    </cfRule>
    <cfRule type="cellIs" dxfId="1" priority="3" operator="between">
      <formula>75.1%</formula>
      <formula>90%</formula>
    </cfRule>
    <cfRule type="cellIs" dxfId="0" priority="4" operator="lessThanOrEqual">
      <formula>75%</formula>
    </cfRule>
  </conditionalFormatting>
  <dataValidations count="3">
    <dataValidation type="list" allowBlank="1" showInputMessage="1" showErrorMessage="1" sqref="F29">
      <formula1>$AD$244:$AD$265</formula1>
    </dataValidation>
    <dataValidation type="list" allowBlank="1" showInputMessage="1" showErrorMessage="1" errorTitle="Please select from the list" sqref="F40:G40">
      <formula1>$AB$245:$AB$281</formula1>
    </dataValidation>
    <dataValidation type="list" allowBlank="1" showInputMessage="1" showErrorMessage="1" error="Please choose from the list provided.  If your material thickness exceed 1/8&quot; consult Applications Engineering at (800) 448-6688." sqref="F7">
      <formula1>$Q$35:$Q$39</formula1>
    </dataValidation>
  </dataValidations>
  <printOptions horizontalCentered="1"/>
  <pageMargins left="0.5" right="0.5" top="1" bottom="1" header="0.5" footer="0.5"/>
  <pageSetup scale="49" fitToHeight="2" orientation="portrait" r:id="rId1"/>
  <headerFooter alignWithMargins="0">
    <oddHeader xml:space="preserve">&amp;CGarlock Sealing Technologies
1666 Division Street
Palmyra, NY  14522
(800) 448-6688&amp;"Arial Rounded MT Bold,Bold"&amp;8
</oddHeader>
    <oddFooter>&amp;A</oddFooter>
  </headerFooter>
  <rowBreaks count="2" manualBreakCount="2">
    <brk id="78" max="13" man="1"/>
    <brk id="146" max="13" man="1"/>
  </row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K31"/>
  <sheetViews>
    <sheetView showGridLines="0" showRowColHeaders="0" zoomScale="85" zoomScaleNormal="85" workbookViewId="0">
      <pane ySplit="1" topLeftCell="A2" activePane="bottomLeft" state="frozen"/>
      <selection pane="bottomLeft" activeCell="B2" sqref="B2"/>
    </sheetView>
  </sheetViews>
  <sheetFormatPr defaultColWidth="0" defaultRowHeight="13.2" zeroHeight="1" x14ac:dyDescent="0.25"/>
  <cols>
    <col min="1" max="1" width="6.109375" style="7" customWidth="1"/>
    <col min="2" max="2" width="11" style="7" customWidth="1"/>
    <col min="3" max="3" width="12.88671875" style="7" customWidth="1"/>
    <col min="4" max="4" width="11" style="7" customWidth="1"/>
    <col min="5" max="5" width="20.77734375" style="7" customWidth="1"/>
    <col min="6" max="6" width="18.109375" style="7" customWidth="1"/>
    <col min="7" max="7" width="20.77734375" style="7" customWidth="1"/>
    <col min="8" max="8" width="18.109375" style="7" customWidth="1"/>
    <col min="9" max="9" width="20.77734375" style="7" customWidth="1"/>
    <col min="10" max="10" width="18.109375" style="7" customWidth="1"/>
    <col min="11" max="11" width="1.21875" style="7" customWidth="1"/>
    <col min="12" max="16384" width="8.88671875" style="7" hidden="1"/>
  </cols>
  <sheetData>
    <row r="1" spans="2:10" ht="107.4" customHeight="1" x14ac:dyDescent="0.25"/>
    <row r="2" spans="2:10" ht="28.2" customHeight="1" x14ac:dyDescent="0.25"/>
    <row r="3" spans="2:10" ht="27.6" customHeight="1" x14ac:dyDescent="0.25">
      <c r="B3" s="492" t="s">
        <v>424</v>
      </c>
      <c r="C3" s="493"/>
      <c r="D3" s="493"/>
      <c r="E3" s="493"/>
      <c r="F3" s="493"/>
      <c r="G3" s="493"/>
      <c r="H3" s="493"/>
      <c r="I3" s="493"/>
      <c r="J3" s="494"/>
    </row>
    <row r="4" spans="2:10" ht="13.2" customHeight="1" x14ac:dyDescent="0.25">
      <c r="B4" s="495" t="s">
        <v>449</v>
      </c>
      <c r="C4" s="495"/>
      <c r="D4" s="495"/>
      <c r="E4" s="495"/>
      <c r="F4" s="495"/>
      <c r="G4" s="495"/>
      <c r="H4" s="495"/>
      <c r="I4" s="495"/>
      <c r="J4" s="495"/>
    </row>
    <row r="5" spans="2:10" x14ac:dyDescent="0.25"/>
    <row r="6" spans="2:10" ht="17.399999999999999" x14ac:dyDescent="0.25">
      <c r="B6" s="370" t="s">
        <v>21</v>
      </c>
      <c r="C6" s="371"/>
      <c r="D6" s="371"/>
      <c r="E6" s="371"/>
      <c r="F6" s="371"/>
      <c r="G6" s="372" t="s">
        <v>22</v>
      </c>
      <c r="H6" s="371"/>
      <c r="I6" s="371"/>
      <c r="J6" s="373"/>
    </row>
    <row r="7" spans="2:10" ht="15.6" x14ac:dyDescent="0.25">
      <c r="B7" s="374" t="s">
        <v>5</v>
      </c>
      <c r="C7" s="375" t="s">
        <v>23</v>
      </c>
      <c r="D7" s="375" t="s">
        <v>24</v>
      </c>
      <c r="E7" s="376" t="s">
        <v>25</v>
      </c>
      <c r="F7" s="377"/>
      <c r="G7" s="376" t="s">
        <v>26</v>
      </c>
      <c r="H7" s="377"/>
      <c r="I7" s="376" t="s">
        <v>27</v>
      </c>
      <c r="J7" s="377"/>
    </row>
    <row r="8" spans="2:10" ht="15.6" x14ac:dyDescent="0.25">
      <c r="B8" s="378" t="s">
        <v>28</v>
      </c>
      <c r="C8" s="378" t="s">
        <v>29</v>
      </c>
      <c r="D8" s="378" t="s">
        <v>30</v>
      </c>
      <c r="E8" s="379" t="s">
        <v>31</v>
      </c>
      <c r="F8" s="379" t="s">
        <v>32</v>
      </c>
      <c r="G8" s="379" t="s">
        <v>31</v>
      </c>
      <c r="H8" s="379" t="s">
        <v>32</v>
      </c>
      <c r="I8" s="379" t="s">
        <v>31</v>
      </c>
      <c r="J8" s="379" t="s">
        <v>32</v>
      </c>
    </row>
    <row r="9" spans="2:10" ht="15" x14ac:dyDescent="0.25">
      <c r="B9" s="380">
        <v>0.25</v>
      </c>
      <c r="C9" s="380">
        <v>2.7E-2</v>
      </c>
      <c r="D9" s="34">
        <f>((12*E9)/(F9*B9))</f>
        <v>0.23703703703703705</v>
      </c>
      <c r="E9" s="381">
        <v>4</v>
      </c>
      <c r="F9" s="382">
        <v>810</v>
      </c>
      <c r="G9" s="381">
        <v>6</v>
      </c>
      <c r="H9" s="382">
        <v>1215</v>
      </c>
      <c r="I9" s="381">
        <v>8</v>
      </c>
      <c r="J9" s="383">
        <v>1620</v>
      </c>
    </row>
    <row r="10" spans="2:10" ht="15" x14ac:dyDescent="0.25">
      <c r="B10" s="384">
        <v>0.3125</v>
      </c>
      <c r="C10" s="384">
        <v>4.4999999999999998E-2</v>
      </c>
      <c r="D10" s="35">
        <f t="shared" ref="D10:D30" si="0">((12*E10)/(F10*B10))</f>
        <v>0.22755555555555557</v>
      </c>
      <c r="E10" s="385">
        <v>8</v>
      </c>
      <c r="F10" s="386">
        <v>1350</v>
      </c>
      <c r="G10" s="385">
        <v>12</v>
      </c>
      <c r="H10" s="386">
        <v>2025</v>
      </c>
      <c r="I10" s="385">
        <v>16</v>
      </c>
      <c r="J10" s="387">
        <v>2700</v>
      </c>
    </row>
    <row r="11" spans="2:10" ht="15" x14ac:dyDescent="0.25">
      <c r="B11" s="384">
        <v>0.375</v>
      </c>
      <c r="C11" s="384">
        <v>6.8000000000000005E-2</v>
      </c>
      <c r="D11" s="35">
        <f t="shared" si="0"/>
        <v>0.18823529411764706</v>
      </c>
      <c r="E11" s="385">
        <v>12</v>
      </c>
      <c r="F11" s="386">
        <v>2040</v>
      </c>
      <c r="G11" s="385">
        <v>18</v>
      </c>
      <c r="H11" s="386">
        <v>3060</v>
      </c>
      <c r="I11" s="385">
        <v>24</v>
      </c>
      <c r="J11" s="387">
        <v>4080</v>
      </c>
    </row>
    <row r="12" spans="2:10" ht="15" x14ac:dyDescent="0.25">
      <c r="B12" s="384">
        <v>0.4375</v>
      </c>
      <c r="C12" s="384">
        <v>9.2999999999999999E-2</v>
      </c>
      <c r="D12" s="35">
        <f t="shared" si="0"/>
        <v>0.19662058371735791</v>
      </c>
      <c r="E12" s="385">
        <v>20</v>
      </c>
      <c r="F12" s="386">
        <v>2790</v>
      </c>
      <c r="G12" s="385">
        <v>30</v>
      </c>
      <c r="H12" s="386">
        <v>4185</v>
      </c>
      <c r="I12" s="385">
        <v>40</v>
      </c>
      <c r="J12" s="387">
        <v>5580</v>
      </c>
    </row>
    <row r="13" spans="2:10" ht="15" x14ac:dyDescent="0.25">
      <c r="B13" s="388">
        <v>0.5</v>
      </c>
      <c r="C13" s="388">
        <v>0.126</v>
      </c>
      <c r="D13" s="36">
        <f t="shared" si="0"/>
        <v>0.19047619047619047</v>
      </c>
      <c r="E13" s="389">
        <v>30</v>
      </c>
      <c r="F13" s="390">
        <v>3780</v>
      </c>
      <c r="G13" s="389">
        <v>45</v>
      </c>
      <c r="H13" s="390">
        <v>5670</v>
      </c>
      <c r="I13" s="389">
        <v>60</v>
      </c>
      <c r="J13" s="391">
        <v>7560</v>
      </c>
    </row>
    <row r="14" spans="2:10" ht="15" x14ac:dyDescent="0.25">
      <c r="B14" s="380">
        <v>0.5625</v>
      </c>
      <c r="C14" s="380">
        <v>0.16200000000000001</v>
      </c>
      <c r="D14" s="34">
        <f t="shared" si="0"/>
        <v>0.19753086419753085</v>
      </c>
      <c r="E14" s="381">
        <v>45</v>
      </c>
      <c r="F14" s="382">
        <v>4860</v>
      </c>
      <c r="G14" s="381">
        <v>68</v>
      </c>
      <c r="H14" s="382">
        <v>7290</v>
      </c>
      <c r="I14" s="381">
        <v>90</v>
      </c>
      <c r="J14" s="383">
        <v>9720</v>
      </c>
    </row>
    <row r="15" spans="2:10" ht="15" x14ac:dyDescent="0.25">
      <c r="B15" s="384">
        <v>0.625</v>
      </c>
      <c r="C15" s="384">
        <v>0.20200000000000001</v>
      </c>
      <c r="D15" s="35">
        <f t="shared" si="0"/>
        <v>0.1900990099009901</v>
      </c>
      <c r="E15" s="385">
        <v>60</v>
      </c>
      <c r="F15" s="386">
        <v>6060</v>
      </c>
      <c r="G15" s="385">
        <v>90</v>
      </c>
      <c r="H15" s="386">
        <v>9090</v>
      </c>
      <c r="I15" s="385">
        <v>120</v>
      </c>
      <c r="J15" s="387">
        <v>12120</v>
      </c>
    </row>
    <row r="16" spans="2:10" ht="15" x14ac:dyDescent="0.25">
      <c r="B16" s="384">
        <v>0.75</v>
      </c>
      <c r="C16" s="384">
        <v>0.30199999999999999</v>
      </c>
      <c r="D16" s="35">
        <f t="shared" si="0"/>
        <v>0.17660044150110377</v>
      </c>
      <c r="E16" s="385">
        <v>100</v>
      </c>
      <c r="F16" s="386">
        <v>9060</v>
      </c>
      <c r="G16" s="385">
        <v>150</v>
      </c>
      <c r="H16" s="386">
        <v>13590</v>
      </c>
      <c r="I16" s="385">
        <v>200</v>
      </c>
      <c r="J16" s="387">
        <v>18120</v>
      </c>
    </row>
    <row r="17" spans="2:10" ht="15" x14ac:dyDescent="0.25">
      <c r="B17" s="384">
        <v>0.875</v>
      </c>
      <c r="C17" s="384">
        <v>0.41899999999999998</v>
      </c>
      <c r="D17" s="35">
        <f t="shared" si="0"/>
        <v>0.1745652915103989</v>
      </c>
      <c r="E17" s="385">
        <v>160</v>
      </c>
      <c r="F17" s="386">
        <v>12570</v>
      </c>
      <c r="G17" s="385">
        <v>240</v>
      </c>
      <c r="H17" s="386">
        <v>18855</v>
      </c>
      <c r="I17" s="385">
        <v>320</v>
      </c>
      <c r="J17" s="387">
        <v>25140</v>
      </c>
    </row>
    <row r="18" spans="2:10" ht="15" x14ac:dyDescent="0.25">
      <c r="B18" s="388">
        <v>1</v>
      </c>
      <c r="C18" s="388">
        <v>0.55100000000000005</v>
      </c>
      <c r="D18" s="36">
        <f t="shared" si="0"/>
        <v>0.17785843920145192</v>
      </c>
      <c r="E18" s="389">
        <v>245</v>
      </c>
      <c r="F18" s="390">
        <v>16530</v>
      </c>
      <c r="G18" s="389">
        <v>368</v>
      </c>
      <c r="H18" s="390">
        <v>24795</v>
      </c>
      <c r="I18" s="389">
        <v>490</v>
      </c>
      <c r="J18" s="391">
        <v>33060</v>
      </c>
    </row>
    <row r="19" spans="2:10" ht="15" x14ac:dyDescent="0.25">
      <c r="B19" s="380">
        <v>1.125</v>
      </c>
      <c r="C19" s="380">
        <v>0.72799999999999998</v>
      </c>
      <c r="D19" s="34">
        <f t="shared" si="0"/>
        <v>0.17338217338217338</v>
      </c>
      <c r="E19" s="381">
        <v>355</v>
      </c>
      <c r="F19" s="382">
        <v>21840</v>
      </c>
      <c r="G19" s="381">
        <v>533</v>
      </c>
      <c r="H19" s="382">
        <v>32760</v>
      </c>
      <c r="I19" s="381">
        <v>710</v>
      </c>
      <c r="J19" s="383">
        <v>43680</v>
      </c>
    </row>
    <row r="20" spans="2:10" ht="15" x14ac:dyDescent="0.25">
      <c r="B20" s="384">
        <v>1.25</v>
      </c>
      <c r="C20" s="384">
        <v>0.92900000000000005</v>
      </c>
      <c r="D20" s="35">
        <f t="shared" si="0"/>
        <v>0.17222820236813779</v>
      </c>
      <c r="E20" s="385">
        <v>500</v>
      </c>
      <c r="F20" s="386">
        <v>27870</v>
      </c>
      <c r="G20" s="385">
        <v>750</v>
      </c>
      <c r="H20" s="386">
        <v>41805</v>
      </c>
      <c r="I20" s="385">
        <v>1000</v>
      </c>
      <c r="J20" s="387">
        <v>55740</v>
      </c>
    </row>
    <row r="21" spans="2:10" ht="15" x14ac:dyDescent="0.25">
      <c r="B21" s="384">
        <v>1.375</v>
      </c>
      <c r="C21" s="384">
        <v>1.155</v>
      </c>
      <c r="D21" s="35">
        <f t="shared" si="0"/>
        <v>0.17127115308933491</v>
      </c>
      <c r="E21" s="385">
        <v>680</v>
      </c>
      <c r="F21" s="386">
        <v>34650</v>
      </c>
      <c r="G21" s="385">
        <v>1020</v>
      </c>
      <c r="H21" s="386">
        <v>51975</v>
      </c>
      <c r="I21" s="385">
        <v>1360</v>
      </c>
      <c r="J21" s="387">
        <v>69300</v>
      </c>
    </row>
    <row r="22" spans="2:10" ht="15" x14ac:dyDescent="0.25">
      <c r="B22" s="388">
        <v>1.5</v>
      </c>
      <c r="C22" s="388">
        <v>1.405</v>
      </c>
      <c r="D22" s="36">
        <f t="shared" si="0"/>
        <v>0.15183867141162516</v>
      </c>
      <c r="E22" s="389">
        <v>800</v>
      </c>
      <c r="F22" s="390">
        <v>42150</v>
      </c>
      <c r="G22" s="389">
        <v>1200</v>
      </c>
      <c r="H22" s="390">
        <v>63225</v>
      </c>
      <c r="I22" s="389">
        <v>1600</v>
      </c>
      <c r="J22" s="391">
        <v>84300</v>
      </c>
    </row>
    <row r="23" spans="2:10" ht="15" x14ac:dyDescent="0.25">
      <c r="B23" s="380">
        <v>1.625</v>
      </c>
      <c r="C23" s="380">
        <v>1.68</v>
      </c>
      <c r="D23" s="34">
        <f t="shared" si="0"/>
        <v>0.16117216117216118</v>
      </c>
      <c r="E23" s="381">
        <v>1100</v>
      </c>
      <c r="F23" s="382">
        <v>50400</v>
      </c>
      <c r="G23" s="381">
        <v>1650</v>
      </c>
      <c r="H23" s="382">
        <v>75600</v>
      </c>
      <c r="I23" s="381">
        <v>2200</v>
      </c>
      <c r="J23" s="383">
        <v>100800</v>
      </c>
    </row>
    <row r="24" spans="2:10" ht="15" x14ac:dyDescent="0.25">
      <c r="B24" s="384">
        <v>1.75</v>
      </c>
      <c r="C24" s="384">
        <v>1.98</v>
      </c>
      <c r="D24" s="35">
        <f t="shared" si="0"/>
        <v>0.17316017316017315</v>
      </c>
      <c r="E24" s="385">
        <v>1500</v>
      </c>
      <c r="F24" s="386">
        <v>59400</v>
      </c>
      <c r="G24" s="385">
        <v>2250</v>
      </c>
      <c r="H24" s="386">
        <v>89100</v>
      </c>
      <c r="I24" s="385">
        <v>3000</v>
      </c>
      <c r="J24" s="387">
        <v>118800</v>
      </c>
    </row>
    <row r="25" spans="2:10" ht="15" x14ac:dyDescent="0.25">
      <c r="B25" s="384">
        <v>1.875</v>
      </c>
      <c r="C25" s="384">
        <v>2.3039999999999998</v>
      </c>
      <c r="D25" s="35">
        <f t="shared" si="0"/>
        <v>0.18518518518518517</v>
      </c>
      <c r="E25" s="385">
        <v>2000</v>
      </c>
      <c r="F25" s="386">
        <v>69120</v>
      </c>
      <c r="G25" s="385">
        <v>3000</v>
      </c>
      <c r="H25" s="386">
        <v>103680</v>
      </c>
      <c r="I25" s="385">
        <v>4000</v>
      </c>
      <c r="J25" s="387">
        <v>138240</v>
      </c>
    </row>
    <row r="26" spans="2:10" ht="15" x14ac:dyDescent="0.25">
      <c r="B26" s="388">
        <v>2</v>
      </c>
      <c r="C26" s="388">
        <v>2.6520000000000001</v>
      </c>
      <c r="D26" s="36">
        <f t="shared" si="0"/>
        <v>0.16591251885369532</v>
      </c>
      <c r="E26" s="389">
        <v>2200</v>
      </c>
      <c r="F26" s="390">
        <v>79560</v>
      </c>
      <c r="G26" s="389">
        <v>3300</v>
      </c>
      <c r="H26" s="390">
        <v>119340</v>
      </c>
      <c r="I26" s="389">
        <v>4400</v>
      </c>
      <c r="J26" s="391">
        <v>159120</v>
      </c>
    </row>
    <row r="27" spans="2:10" ht="15" x14ac:dyDescent="0.25">
      <c r="B27" s="380">
        <v>2.25</v>
      </c>
      <c r="C27" s="380">
        <v>3.423</v>
      </c>
      <c r="D27" s="34">
        <f t="shared" si="0"/>
        <v>0.16515726945174797</v>
      </c>
      <c r="E27" s="381">
        <v>3180</v>
      </c>
      <c r="F27" s="382">
        <v>102690</v>
      </c>
      <c r="G27" s="381">
        <v>4770</v>
      </c>
      <c r="H27" s="382">
        <v>154035</v>
      </c>
      <c r="I27" s="381">
        <v>6360</v>
      </c>
      <c r="J27" s="383">
        <v>205380</v>
      </c>
    </row>
    <row r="28" spans="2:10" ht="15" x14ac:dyDescent="0.25">
      <c r="B28" s="384">
        <v>2.5</v>
      </c>
      <c r="C28" s="384">
        <v>4.2919999999999998</v>
      </c>
      <c r="D28" s="35">
        <f t="shared" si="0"/>
        <v>0.16402609506057783</v>
      </c>
      <c r="E28" s="385">
        <v>4400</v>
      </c>
      <c r="F28" s="386">
        <v>128760</v>
      </c>
      <c r="G28" s="385">
        <v>6600</v>
      </c>
      <c r="H28" s="386">
        <v>193140</v>
      </c>
      <c r="I28" s="385">
        <v>8800</v>
      </c>
      <c r="J28" s="387">
        <v>257520</v>
      </c>
    </row>
    <row r="29" spans="2:10" ht="15" x14ac:dyDescent="0.25">
      <c r="B29" s="384">
        <v>2.75</v>
      </c>
      <c r="C29" s="384">
        <v>5.2590000000000003</v>
      </c>
      <c r="D29" s="35">
        <f t="shared" si="0"/>
        <v>0.16373662466075473</v>
      </c>
      <c r="E29" s="385">
        <v>5920</v>
      </c>
      <c r="F29" s="386">
        <v>157770</v>
      </c>
      <c r="G29" s="385">
        <v>8880</v>
      </c>
      <c r="H29" s="386">
        <v>236655</v>
      </c>
      <c r="I29" s="385">
        <v>11840</v>
      </c>
      <c r="J29" s="387">
        <v>315540</v>
      </c>
    </row>
    <row r="30" spans="2:10" ht="15" x14ac:dyDescent="0.25">
      <c r="B30" s="388">
        <v>3</v>
      </c>
      <c r="C30" s="388">
        <v>6.3239999999999998</v>
      </c>
      <c r="D30" s="36">
        <f t="shared" si="0"/>
        <v>0.1627661817415138</v>
      </c>
      <c r="E30" s="389">
        <v>7720</v>
      </c>
      <c r="F30" s="390">
        <v>189720</v>
      </c>
      <c r="G30" s="389">
        <v>11580</v>
      </c>
      <c r="H30" s="390">
        <v>284580</v>
      </c>
      <c r="I30" s="389">
        <v>15440</v>
      </c>
      <c r="J30" s="391">
        <v>379440</v>
      </c>
    </row>
    <row r="31" spans="2:10" x14ac:dyDescent="0.25"/>
  </sheetData>
  <sheetProtection password="D401" sheet="1" objects="1" scenarios="1" selectLockedCells="1"/>
  <mergeCells count="2">
    <mergeCell ref="B3:J3"/>
    <mergeCell ref="B4:J4"/>
  </mergeCells>
  <phoneticPr fontId="0" type="noConversion"/>
  <pageMargins left="0.25" right="0.25" top="1.25" bottom="1" header="0.5" footer="0.5"/>
  <pageSetup scale="83" orientation="landscape" r:id="rId1"/>
  <headerFooter alignWithMargins="0">
    <oddHeader>&amp;CGarlock Sealing Technologies
1666 Division Street
Palmyra, NY  14522
(800) 448-6688</oddHeader>
    <oddFoote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15</vt:i4>
      </vt:variant>
    </vt:vector>
  </HeadingPairs>
  <TitlesOfParts>
    <vt:vector size="25" baseType="lpstr">
      <vt:lpstr>HOME</vt:lpstr>
      <vt:lpstr>QUICK TORQUE</vt:lpstr>
      <vt:lpstr>G.S.T.</vt:lpstr>
      <vt:lpstr>Ring Gaskets</vt:lpstr>
      <vt:lpstr>Full Face Gaskets</vt:lpstr>
      <vt:lpstr>Rectangular &amp; Square Gaskets</vt:lpstr>
      <vt:lpstr>Elliptical Gaskets</vt:lpstr>
      <vt:lpstr>Obround Gasket</vt:lpstr>
      <vt:lpstr>BOLT TABLE</vt:lpstr>
      <vt:lpstr>BOLT</vt:lpstr>
      <vt:lpstr>'BOLT TABLE'!Print_Area</vt:lpstr>
      <vt:lpstr>'Elliptical Gaskets'!Print_Area</vt:lpstr>
      <vt:lpstr>'Full Face Gaskets'!Print_Area</vt:lpstr>
      <vt:lpstr>G.S.T.!Print_Area</vt:lpstr>
      <vt:lpstr>HOME!Print_Area</vt:lpstr>
      <vt:lpstr>'Obround Gasket'!Print_Area</vt:lpstr>
      <vt:lpstr>'QUICK TORQUE'!Print_Area</vt:lpstr>
      <vt:lpstr>'Rectangular &amp; Square Gaskets'!Print_Area</vt:lpstr>
      <vt:lpstr>'Ring Gaskets'!Print_Area</vt:lpstr>
      <vt:lpstr>'Elliptical Gaskets'!Print_Titles</vt:lpstr>
      <vt:lpstr>'Full Face Gaskets'!Print_Titles</vt:lpstr>
      <vt:lpstr>'Obround Gasket'!Print_Titles</vt:lpstr>
      <vt:lpstr>'QUICK TORQUE'!Print_Titles</vt:lpstr>
      <vt:lpstr>'Rectangular &amp; Square Gaskets'!Print_Titles</vt:lpstr>
      <vt:lpstr>'Ring Gaskets'!Print_Titles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Gasket Calculator 6.0</dc:title>
  <dc:creator>Matt Tones;Garlock Sealing Technologies</dc:creator>
  <cp:lastModifiedBy>Tones, Matt</cp:lastModifiedBy>
  <cp:lastPrinted>2018-09-28T20:28:17Z</cp:lastPrinted>
  <dcterms:created xsi:type="dcterms:W3CDTF">1998-12-18T15:55:05Z</dcterms:created>
  <dcterms:modified xsi:type="dcterms:W3CDTF">2018-09-28T20:34:41Z</dcterms:modified>
</cp:coreProperties>
</file>